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62B6EA-6903-414F-85B2-5220366788D1}" xr6:coauthVersionLast="28" xr6:coauthVersionMax="28" xr10:uidLastSave="{00000000-0000-0000-0000-000000000000}"/>
  <bookViews>
    <workbookView xWindow="0" yWindow="0" windowWidth="20490" windowHeight="7530" xr2:uid="{00000000-000D-0000-FFFF-FFFF00000000}"/>
  </bookViews>
  <sheets>
    <sheet name="Time Trial" sheetId="3" r:id="rId1"/>
    <sheet name="SEMI" sheetId="4" r:id="rId2"/>
    <sheet name="FINAL" sheetId="5" r:id="rId3"/>
    <sheet name="Final Placings" sheetId="7" r:id="rId4"/>
    <sheet name="Base Data" sheetId="1" r:id="rId5"/>
    <sheet name="TT record" sheetId="8" r:id="rId6"/>
  </sheets>
  <definedNames>
    <definedName name="_xlnm._FilterDatabase" localSheetId="0" hidden="1">'Time Trial'!$A$4:$K$46</definedName>
    <definedName name="_xlnm.Print_Area" localSheetId="2">FINAL!$A$1:$M$38</definedName>
    <definedName name="_xlnm.Print_Area" localSheetId="3">'Final Placings'!$A$1:$T$26</definedName>
    <definedName name="_xlnm.Print_Area" localSheetId="1">SEMI!$A$1:$M$38</definedName>
    <definedName name="_xlnm.Print_Area" localSheetId="0">'Time Trial'!$C$1:$O$28</definedName>
  </definedNames>
  <calcPr calcId="171027" concurrentCalc="0"/>
</workbook>
</file>

<file path=xl/calcChain.xml><?xml version="1.0" encoding="utf-8"?>
<calcChain xmlns="http://schemas.openxmlformats.org/spreadsheetml/2006/main">
  <c r="L9" i="3" l="1"/>
  <c r="M9" i="3"/>
  <c r="L15" i="1"/>
  <c r="M19" i="1"/>
  <c r="AA16" i="3"/>
  <c r="AC14" i="3"/>
  <c r="AC18" i="3"/>
  <c r="AC20" i="3"/>
  <c r="AC6" i="3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D14" i="3"/>
  <c r="AE14" i="3"/>
  <c r="AC15" i="3"/>
  <c r="AD15" i="3"/>
  <c r="AE15" i="3"/>
  <c r="AC16" i="3"/>
  <c r="AD16" i="3"/>
  <c r="AE16" i="3"/>
  <c r="AC17" i="3"/>
  <c r="AD17" i="3"/>
  <c r="AE17" i="3"/>
  <c r="AD18" i="3"/>
  <c r="AE18" i="3"/>
  <c r="AC19" i="3"/>
  <c r="AD19" i="3"/>
  <c r="AE19" i="3"/>
  <c r="AD20" i="3"/>
  <c r="AE20" i="3"/>
  <c r="AC21" i="3"/>
  <c r="AD21" i="3"/>
  <c r="AE21" i="3"/>
  <c r="AC22" i="3"/>
  <c r="AD22" i="3"/>
  <c r="AE22" i="3"/>
  <c r="Y17" i="3"/>
  <c r="Y15" i="3"/>
  <c r="Y16" i="3"/>
  <c r="N9" i="3"/>
  <c r="O9" i="3"/>
  <c r="L7" i="3"/>
  <c r="M7" i="3"/>
  <c r="M17" i="1"/>
  <c r="AA14" i="3"/>
  <c r="Y14" i="3"/>
  <c r="N7" i="3"/>
  <c r="O7" i="3"/>
  <c r="L5" i="3"/>
  <c r="M5" i="3"/>
  <c r="L20" i="1"/>
  <c r="Z18" i="3"/>
  <c r="Y19" i="3"/>
  <c r="Y18" i="3"/>
  <c r="N5" i="3"/>
  <c r="O5" i="3"/>
  <c r="L8" i="3"/>
  <c r="M8" i="3"/>
  <c r="L19" i="1"/>
  <c r="Z16" i="3"/>
  <c r="N8" i="3"/>
  <c r="O8" i="3"/>
  <c r="L11" i="3"/>
  <c r="M11" i="3"/>
  <c r="L21" i="1"/>
  <c r="Z20" i="3"/>
  <c r="Y20" i="3"/>
  <c r="Y21" i="3"/>
  <c r="N11" i="3"/>
  <c r="O11" i="3"/>
  <c r="L6" i="3"/>
  <c r="M6" i="3"/>
  <c r="N6" i="3"/>
  <c r="O6" i="3"/>
  <c r="L10" i="3"/>
  <c r="M10" i="3"/>
  <c r="N10" i="3"/>
  <c r="O10" i="3"/>
  <c r="L12" i="3"/>
  <c r="M12" i="3"/>
  <c r="N12" i="3"/>
  <c r="O12" i="3"/>
  <c r="L13" i="3"/>
  <c r="M13" i="3"/>
  <c r="O13" i="3"/>
  <c r="L14" i="3"/>
  <c r="M14" i="3"/>
  <c r="O14" i="3"/>
  <c r="L15" i="3"/>
  <c r="M15" i="3"/>
  <c r="O15" i="3"/>
  <c r="L16" i="3"/>
  <c r="M16" i="3"/>
  <c r="O16" i="3"/>
  <c r="L17" i="3"/>
  <c r="M17" i="3"/>
  <c r="O17" i="3"/>
  <c r="L18" i="3"/>
  <c r="M18" i="3"/>
  <c r="O18" i="3"/>
  <c r="L19" i="3"/>
  <c r="M19" i="3"/>
  <c r="O19" i="3"/>
  <c r="L20" i="3"/>
  <c r="M20" i="3"/>
  <c r="O20" i="3"/>
  <c r="L21" i="3"/>
  <c r="M21" i="3"/>
  <c r="O21" i="3"/>
  <c r="L22" i="3"/>
  <c r="M22" i="3"/>
  <c r="O22" i="3"/>
  <c r="L23" i="3"/>
  <c r="M23" i="3"/>
  <c r="O23" i="3"/>
  <c r="L24" i="3"/>
  <c r="M24" i="3"/>
  <c r="O24" i="3"/>
  <c r="L25" i="3"/>
  <c r="M25" i="3"/>
  <c r="O25" i="3"/>
  <c r="L26" i="3"/>
  <c r="M26" i="3"/>
  <c r="O26" i="3"/>
  <c r="L27" i="3"/>
  <c r="M27" i="3"/>
  <c r="O27" i="3"/>
  <c r="L28" i="3"/>
  <c r="M28" i="3"/>
  <c r="O28" i="3"/>
  <c r="L29" i="3"/>
  <c r="M29" i="3"/>
  <c r="O29" i="3"/>
  <c r="L30" i="3"/>
  <c r="M30" i="3"/>
  <c r="O30" i="3"/>
  <c r="L31" i="3"/>
  <c r="M31" i="3"/>
  <c r="O31" i="3"/>
  <c r="L32" i="3"/>
  <c r="M32" i="3"/>
  <c r="O32" i="3"/>
  <c r="L33" i="3"/>
  <c r="M33" i="3"/>
  <c r="O33" i="3"/>
  <c r="L34" i="3"/>
  <c r="M34" i="3"/>
  <c r="O34" i="3"/>
  <c r="L35" i="3"/>
  <c r="M35" i="3"/>
  <c r="O35" i="3"/>
  <c r="L36" i="3"/>
  <c r="M36" i="3"/>
  <c r="O36" i="3"/>
  <c r="L37" i="3"/>
  <c r="M37" i="3"/>
  <c r="O37" i="3"/>
  <c r="L38" i="3"/>
  <c r="M38" i="3"/>
  <c r="O38" i="3"/>
  <c r="L39" i="3"/>
  <c r="M39" i="3"/>
  <c r="O39" i="3"/>
  <c r="L40" i="3"/>
  <c r="M40" i="3"/>
  <c r="O40" i="3"/>
  <c r="L41" i="3"/>
  <c r="M41" i="3"/>
  <c r="O41" i="3"/>
  <c r="L42" i="3"/>
  <c r="M42" i="3"/>
  <c r="O42" i="3"/>
  <c r="L43" i="3"/>
  <c r="M43" i="3"/>
  <c r="O43" i="3"/>
  <c r="L44" i="3"/>
  <c r="M44" i="3"/>
  <c r="O44" i="3"/>
  <c r="L45" i="3"/>
  <c r="M45" i="3"/>
  <c r="O45" i="3"/>
  <c r="L46" i="3"/>
  <c r="M46" i="3"/>
  <c r="O46" i="3"/>
  <c r="Q9" i="3"/>
  <c r="P9" i="3"/>
  <c r="C7" i="3"/>
  <c r="P7" i="3"/>
  <c r="P5" i="3"/>
  <c r="P11" i="3"/>
  <c r="P6" i="3"/>
  <c r="P10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8" i="3"/>
  <c r="D15" i="1"/>
  <c r="E26" i="1"/>
  <c r="C27" i="1"/>
  <c r="C26" i="1"/>
  <c r="C28" i="1"/>
  <c r="D27" i="1"/>
  <c r="D26" i="1"/>
  <c r="D28" i="1"/>
  <c r="F27" i="1"/>
  <c r="F26" i="1"/>
  <c r="F28" i="1"/>
  <c r="G28" i="1"/>
  <c r="E27" i="1"/>
  <c r="E6" i="1"/>
  <c r="F17" i="1"/>
  <c r="D16" i="1"/>
  <c r="L5" i="1"/>
  <c r="L9" i="1"/>
  <c r="L23" i="1"/>
  <c r="Z19" i="3"/>
  <c r="L3" i="1"/>
  <c r="L17" i="1"/>
  <c r="Z14" i="3"/>
  <c r="L7" i="1"/>
  <c r="L4" i="1"/>
  <c r="L18" i="1"/>
  <c r="Z15" i="3"/>
  <c r="F15" i="1"/>
  <c r="F16" i="1"/>
  <c r="M5" i="1"/>
  <c r="N13" i="3"/>
  <c r="N14" i="3"/>
  <c r="N15" i="3"/>
  <c r="N16" i="3"/>
  <c r="L6" i="1"/>
  <c r="N17" i="3"/>
  <c r="N18" i="3"/>
  <c r="N19" i="3"/>
  <c r="N20" i="3"/>
  <c r="N21" i="3"/>
  <c r="N22" i="3"/>
  <c r="N23" i="3"/>
  <c r="M3" i="1"/>
  <c r="N24" i="3"/>
  <c r="M6" i="1"/>
  <c r="M20" i="1"/>
  <c r="AA18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O34" i="1"/>
  <c r="L41" i="1"/>
  <c r="O35" i="1"/>
  <c r="M41" i="1"/>
  <c r="N41" i="1"/>
  <c r="O41" i="1"/>
  <c r="L42" i="1"/>
  <c r="M42" i="1"/>
  <c r="N42" i="1"/>
  <c r="O42" i="1"/>
  <c r="L43" i="1"/>
  <c r="M43" i="1"/>
  <c r="N43" i="1"/>
  <c r="O43" i="1"/>
  <c r="L44" i="1"/>
  <c r="M44" i="1"/>
  <c r="N44" i="1"/>
  <c r="O44" i="1"/>
  <c r="L45" i="1"/>
  <c r="M45" i="1"/>
  <c r="N45" i="1"/>
  <c r="O45" i="1"/>
  <c r="L46" i="1"/>
  <c r="M46" i="1"/>
  <c r="N46" i="1"/>
  <c r="O46" i="1"/>
  <c r="L47" i="1"/>
  <c r="M47" i="1"/>
  <c r="N47" i="1"/>
  <c r="O47" i="1"/>
  <c r="O48" i="1"/>
  <c r="O49" i="1"/>
  <c r="O50" i="1"/>
  <c r="O51" i="1"/>
  <c r="O52" i="1"/>
  <c r="O53" i="1"/>
  <c r="O54" i="1"/>
  <c r="O55" i="1"/>
  <c r="O56" i="1"/>
  <c r="O57" i="1"/>
  <c r="Q7" i="3"/>
  <c r="Q5" i="3"/>
  <c r="Q11" i="3"/>
  <c r="Q6" i="3"/>
  <c r="Q10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8" i="3"/>
  <c r="C8" i="3"/>
  <c r="C9" i="3"/>
  <c r="C5" i="3"/>
  <c r="C11" i="3"/>
  <c r="C6" i="3"/>
  <c r="C10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8" i="3"/>
  <c r="J1" i="3"/>
  <c r="A5" i="5"/>
  <c r="D5" i="5"/>
  <c r="A6" i="5"/>
  <c r="D6" i="5"/>
  <c r="C5" i="5"/>
  <c r="AC8" i="5"/>
  <c r="AD8" i="5"/>
  <c r="AD8" i="4"/>
  <c r="AC8" i="4"/>
  <c r="AB8" i="4"/>
  <c r="AB7" i="4"/>
  <c r="AC7" i="4"/>
  <c r="AD7" i="4"/>
  <c r="N42" i="3"/>
  <c r="N43" i="3"/>
  <c r="N44" i="3"/>
  <c r="N45" i="3"/>
  <c r="N46" i="3"/>
  <c r="A23" i="4"/>
  <c r="H23" i="4"/>
  <c r="D5" i="4"/>
  <c r="H5" i="4"/>
  <c r="F5" i="4"/>
  <c r="R8" i="3"/>
  <c r="S8" i="3"/>
  <c r="T8" i="3"/>
  <c r="R9" i="3"/>
  <c r="S9" i="3"/>
  <c r="T9" i="3"/>
  <c r="R7" i="3"/>
  <c r="S7" i="3"/>
  <c r="T7" i="3"/>
  <c r="R5" i="3"/>
  <c r="S5" i="3"/>
  <c r="T5" i="3"/>
  <c r="R11" i="3"/>
  <c r="S11" i="3"/>
  <c r="T11" i="3"/>
  <c r="R6" i="3"/>
  <c r="S6" i="3"/>
  <c r="T6" i="3"/>
  <c r="R10" i="3"/>
  <c r="S10" i="3"/>
  <c r="T10" i="3"/>
  <c r="R12" i="3"/>
  <c r="S12" i="3"/>
  <c r="T12" i="3"/>
  <c r="R13" i="3"/>
  <c r="S13" i="3"/>
  <c r="T13" i="3"/>
  <c r="R14" i="3"/>
  <c r="S14" i="3"/>
  <c r="T14" i="3"/>
  <c r="R15" i="3"/>
  <c r="S15" i="3"/>
  <c r="T15" i="3"/>
  <c r="R16" i="3"/>
  <c r="S16" i="3"/>
  <c r="T16" i="3"/>
  <c r="R17" i="3"/>
  <c r="S17" i="3"/>
  <c r="T17" i="3"/>
  <c r="R18" i="3"/>
  <c r="S18" i="3"/>
  <c r="T18" i="3"/>
  <c r="R19" i="3"/>
  <c r="S19" i="3"/>
  <c r="T19" i="3"/>
  <c r="R20" i="3"/>
  <c r="S20" i="3"/>
  <c r="T20" i="3"/>
  <c r="R21" i="3"/>
  <c r="S21" i="3"/>
  <c r="T21" i="3"/>
  <c r="R22" i="3"/>
  <c r="S22" i="3"/>
  <c r="T22" i="3"/>
  <c r="R23" i="3"/>
  <c r="S23" i="3"/>
  <c r="T23" i="3"/>
  <c r="R24" i="3"/>
  <c r="S24" i="3"/>
  <c r="T24" i="3"/>
  <c r="R25" i="3"/>
  <c r="S25" i="3"/>
  <c r="T25" i="3"/>
  <c r="R26" i="3"/>
  <c r="S26" i="3"/>
  <c r="T26" i="3"/>
  <c r="R27" i="3"/>
  <c r="S27" i="3"/>
  <c r="T27" i="3"/>
  <c r="R28" i="3"/>
  <c r="S28" i="3"/>
  <c r="T28" i="3"/>
  <c r="R29" i="3"/>
  <c r="S29" i="3"/>
  <c r="T29" i="3"/>
  <c r="R30" i="3"/>
  <c r="S30" i="3"/>
  <c r="T30" i="3"/>
  <c r="R31" i="3"/>
  <c r="S31" i="3"/>
  <c r="T31" i="3"/>
  <c r="R32" i="3"/>
  <c r="S32" i="3"/>
  <c r="T32" i="3"/>
  <c r="R33" i="3"/>
  <c r="S33" i="3"/>
  <c r="T33" i="3"/>
  <c r="R34" i="3"/>
  <c r="S34" i="3"/>
  <c r="T34" i="3"/>
  <c r="R35" i="3"/>
  <c r="S35" i="3"/>
  <c r="T35" i="3"/>
  <c r="R36" i="3"/>
  <c r="S36" i="3"/>
  <c r="T36" i="3"/>
  <c r="R37" i="3"/>
  <c r="S37" i="3"/>
  <c r="T37" i="3"/>
  <c r="R38" i="3"/>
  <c r="S38" i="3"/>
  <c r="T38" i="3"/>
  <c r="R39" i="3"/>
  <c r="S39" i="3"/>
  <c r="T39" i="3"/>
  <c r="R40" i="3"/>
  <c r="S40" i="3"/>
  <c r="T40" i="3"/>
  <c r="R41" i="3"/>
  <c r="S41" i="3"/>
  <c r="T41" i="3"/>
  <c r="R42" i="3"/>
  <c r="S42" i="3"/>
  <c r="T42" i="3"/>
  <c r="S43" i="3"/>
  <c r="T43" i="3"/>
  <c r="S44" i="3"/>
  <c r="T44" i="3"/>
  <c r="S45" i="3"/>
  <c r="T45" i="3"/>
  <c r="S46" i="3"/>
  <c r="T46" i="3"/>
  <c r="T4" i="3"/>
  <c r="M4" i="1"/>
  <c r="M18" i="1"/>
  <c r="AA15" i="3"/>
  <c r="Z13" i="4"/>
  <c r="Z25" i="4"/>
  <c r="G5" i="4"/>
  <c r="Y17" i="4"/>
  <c r="Y29" i="4"/>
  <c r="Y12" i="4"/>
  <c r="Y24" i="4"/>
  <c r="X6" i="4"/>
  <c r="X27" i="4"/>
  <c r="X4" i="4"/>
  <c r="X25" i="4"/>
  <c r="X3" i="4"/>
  <c r="X24" i="4"/>
  <c r="X8" i="4"/>
  <c r="X29" i="4"/>
  <c r="X9" i="4"/>
  <c r="X30" i="4"/>
  <c r="Y13" i="4"/>
  <c r="Y25" i="4"/>
  <c r="L8" i="1"/>
  <c r="L22" i="1"/>
  <c r="Z17" i="3"/>
  <c r="Y15" i="4"/>
  <c r="Y27" i="4"/>
  <c r="Y14" i="4"/>
  <c r="Y26" i="4"/>
  <c r="Z14" i="4"/>
  <c r="Z26" i="4"/>
  <c r="Y18" i="4"/>
  <c r="Y30" i="4"/>
  <c r="I5" i="4"/>
  <c r="D6" i="4"/>
  <c r="C5" i="4"/>
  <c r="E5" i="4"/>
  <c r="AA5" i="3"/>
  <c r="AA6" i="3"/>
  <c r="AA7" i="3"/>
  <c r="M8" i="1"/>
  <c r="AA8" i="3"/>
  <c r="AA9" i="3"/>
  <c r="M9" i="1"/>
  <c r="AA10" i="3"/>
  <c r="M7" i="1"/>
  <c r="AA11" i="3"/>
  <c r="M10" i="1"/>
  <c r="AA12" i="3"/>
  <c r="M22" i="1"/>
  <c r="AA17" i="3"/>
  <c r="M23" i="1"/>
  <c r="AA19" i="3"/>
  <c r="M21" i="1"/>
  <c r="AA20" i="3"/>
  <c r="M24" i="1"/>
  <c r="AA21" i="3"/>
  <c r="Z11" i="3"/>
  <c r="A7" i="5"/>
  <c r="D7" i="5"/>
  <c r="B5" i="7"/>
  <c r="F5" i="7"/>
  <c r="C5" i="7"/>
  <c r="D5" i="7"/>
  <c r="E5" i="7"/>
  <c r="K5" i="7"/>
  <c r="L5" i="7"/>
  <c r="B4" i="7"/>
  <c r="F4" i="7"/>
  <c r="D4" i="7"/>
  <c r="B3" i="7"/>
  <c r="F3" i="7"/>
  <c r="D3" i="7"/>
  <c r="E3" i="7"/>
  <c r="E4" i="7"/>
  <c r="M5" i="7"/>
  <c r="N5" i="7"/>
  <c r="A8" i="5"/>
  <c r="D8" i="5"/>
  <c r="B6" i="7"/>
  <c r="F6" i="7"/>
  <c r="C6" i="7"/>
  <c r="D6" i="7"/>
  <c r="E6" i="7"/>
  <c r="K6" i="7"/>
  <c r="L6" i="7"/>
  <c r="M6" i="7"/>
  <c r="N6" i="7"/>
  <c r="A12" i="5"/>
  <c r="D12" i="5"/>
  <c r="A11" i="5"/>
  <c r="D11" i="5"/>
  <c r="B7" i="7"/>
  <c r="F7" i="7"/>
  <c r="C7" i="7"/>
  <c r="D7" i="7"/>
  <c r="E7" i="7"/>
  <c r="K7" i="7"/>
  <c r="L7" i="7"/>
  <c r="M7" i="7"/>
  <c r="N7" i="7"/>
  <c r="B8" i="7"/>
  <c r="F8" i="7"/>
  <c r="C8" i="7"/>
  <c r="D8" i="7"/>
  <c r="E8" i="7"/>
  <c r="K8" i="7"/>
  <c r="L8" i="7"/>
  <c r="M8" i="7"/>
  <c r="N8" i="7"/>
  <c r="A13" i="5"/>
  <c r="D13" i="5"/>
  <c r="B9" i="7"/>
  <c r="F9" i="7"/>
  <c r="C9" i="7"/>
  <c r="D9" i="7"/>
  <c r="E9" i="7"/>
  <c r="K9" i="7"/>
  <c r="L9" i="7"/>
  <c r="M9" i="7"/>
  <c r="N9" i="7"/>
  <c r="A14" i="5"/>
  <c r="D14" i="5"/>
  <c r="B10" i="7"/>
  <c r="F10" i="7"/>
  <c r="C10" i="7"/>
  <c r="D10" i="7"/>
  <c r="E10" i="7"/>
  <c r="K10" i="7"/>
  <c r="L10" i="7"/>
  <c r="M10" i="7"/>
  <c r="N10" i="7"/>
  <c r="A19" i="4"/>
  <c r="A18" i="5"/>
  <c r="D18" i="5"/>
  <c r="B11" i="7"/>
  <c r="F11" i="7"/>
  <c r="C11" i="7"/>
  <c r="D11" i="7"/>
  <c r="E11" i="7"/>
  <c r="K11" i="7"/>
  <c r="L11" i="7"/>
  <c r="M11" i="7"/>
  <c r="N11" i="7"/>
  <c r="A17" i="4"/>
  <c r="A17" i="5"/>
  <c r="D17" i="5"/>
  <c r="B12" i="7"/>
  <c r="F12" i="7"/>
  <c r="C12" i="7"/>
  <c r="K12" i="7"/>
  <c r="D12" i="7"/>
  <c r="E12" i="7"/>
  <c r="L12" i="7"/>
  <c r="M12" i="7"/>
  <c r="N12" i="7"/>
  <c r="A18" i="4"/>
  <c r="A19" i="5"/>
  <c r="D19" i="5"/>
  <c r="B13" i="7"/>
  <c r="F13" i="7"/>
  <c r="C13" i="7"/>
  <c r="D13" i="7"/>
  <c r="E13" i="7"/>
  <c r="K13" i="7"/>
  <c r="L13" i="7"/>
  <c r="M13" i="7"/>
  <c r="N13" i="7"/>
  <c r="A20" i="4"/>
  <c r="A20" i="5"/>
  <c r="D20" i="5"/>
  <c r="B14" i="7"/>
  <c r="F14" i="7"/>
  <c r="C14" i="7"/>
  <c r="D14" i="7"/>
  <c r="E14" i="7"/>
  <c r="K14" i="7"/>
  <c r="L14" i="7"/>
  <c r="M14" i="7"/>
  <c r="N14" i="7"/>
  <c r="A26" i="4"/>
  <c r="A24" i="5"/>
  <c r="D24" i="5"/>
  <c r="B15" i="7"/>
  <c r="F15" i="7"/>
  <c r="C15" i="7"/>
  <c r="K15" i="7"/>
  <c r="L15" i="7"/>
  <c r="D15" i="7"/>
  <c r="E15" i="7"/>
  <c r="M15" i="7"/>
  <c r="N15" i="7"/>
  <c r="A24" i="4"/>
  <c r="A23" i="5"/>
  <c r="D23" i="5"/>
  <c r="B16" i="7"/>
  <c r="F16" i="7"/>
  <c r="C16" i="7"/>
  <c r="D16" i="7"/>
  <c r="E16" i="7"/>
  <c r="K16" i="7"/>
  <c r="L16" i="7"/>
  <c r="M16" i="7"/>
  <c r="N16" i="7"/>
  <c r="A25" i="5"/>
  <c r="D25" i="5"/>
  <c r="B17" i="7"/>
  <c r="F17" i="7"/>
  <c r="C17" i="7"/>
  <c r="D17" i="7"/>
  <c r="E17" i="7"/>
  <c r="K17" i="7"/>
  <c r="L17" i="7"/>
  <c r="M17" i="7"/>
  <c r="N17" i="7"/>
  <c r="A25" i="4"/>
  <c r="A26" i="5"/>
  <c r="D26" i="5"/>
  <c r="B18" i="7"/>
  <c r="F18" i="7"/>
  <c r="C18" i="7"/>
  <c r="D18" i="7"/>
  <c r="E18" i="7"/>
  <c r="K18" i="7"/>
  <c r="L18" i="7"/>
  <c r="M18" i="7"/>
  <c r="N18" i="7"/>
  <c r="A32" i="4"/>
  <c r="A30" i="5"/>
  <c r="D30" i="5"/>
  <c r="B19" i="7"/>
  <c r="F19" i="7"/>
  <c r="C19" i="7"/>
  <c r="K19" i="7"/>
  <c r="L19" i="7"/>
  <c r="D19" i="7"/>
  <c r="E19" i="7"/>
  <c r="M19" i="7"/>
  <c r="N19" i="7"/>
  <c r="A29" i="4"/>
  <c r="A29" i="5"/>
  <c r="D29" i="5"/>
  <c r="B20" i="7"/>
  <c r="F20" i="7"/>
  <c r="C20" i="7"/>
  <c r="K20" i="7"/>
  <c r="L20" i="7"/>
  <c r="D20" i="7"/>
  <c r="E20" i="7"/>
  <c r="M20" i="7"/>
  <c r="N20" i="7"/>
  <c r="A30" i="4"/>
  <c r="A31" i="5"/>
  <c r="D31" i="5"/>
  <c r="B21" i="7"/>
  <c r="F21" i="7"/>
  <c r="C21" i="7"/>
  <c r="K21" i="7"/>
  <c r="D21" i="7"/>
  <c r="E21" i="7"/>
  <c r="L21" i="7"/>
  <c r="M21" i="7"/>
  <c r="N21" i="7"/>
  <c r="A31" i="4"/>
  <c r="A32" i="5"/>
  <c r="D32" i="5"/>
  <c r="B22" i="7"/>
  <c r="F22" i="7"/>
  <c r="C22" i="7"/>
  <c r="K22" i="7"/>
  <c r="D22" i="7"/>
  <c r="E22" i="7"/>
  <c r="L22" i="7"/>
  <c r="M22" i="7"/>
  <c r="N22" i="7"/>
  <c r="A37" i="4"/>
  <c r="A36" i="5"/>
  <c r="D36" i="5"/>
  <c r="B23" i="7"/>
  <c r="F23" i="7"/>
  <c r="C23" i="7"/>
  <c r="D23" i="7"/>
  <c r="E23" i="7"/>
  <c r="K23" i="7"/>
  <c r="L23" i="7"/>
  <c r="M23" i="7"/>
  <c r="N23" i="7"/>
  <c r="A35" i="4"/>
  <c r="A35" i="5"/>
  <c r="D35" i="5"/>
  <c r="B24" i="7"/>
  <c r="F24" i="7"/>
  <c r="C24" i="7"/>
  <c r="K24" i="7"/>
  <c r="D24" i="7"/>
  <c r="E24" i="7"/>
  <c r="L24" i="7"/>
  <c r="M24" i="7"/>
  <c r="N24" i="7"/>
  <c r="A36" i="4"/>
  <c r="A37" i="5"/>
  <c r="D37" i="5"/>
  <c r="B25" i="7"/>
  <c r="F25" i="7"/>
  <c r="C25" i="7"/>
  <c r="D25" i="7"/>
  <c r="E25" i="7"/>
  <c r="K25" i="7"/>
  <c r="L25" i="7"/>
  <c r="M25" i="7"/>
  <c r="N25" i="7"/>
  <c r="A38" i="4"/>
  <c r="A38" i="5"/>
  <c r="D38" i="5"/>
  <c r="B26" i="7"/>
  <c r="F26" i="7"/>
  <c r="C26" i="7"/>
  <c r="D26" i="7"/>
  <c r="E26" i="7"/>
  <c r="K26" i="7"/>
  <c r="L26" i="7"/>
  <c r="M26" i="7"/>
  <c r="N26" i="7"/>
  <c r="A43" i="4"/>
  <c r="A42" i="5"/>
  <c r="D42" i="5"/>
  <c r="B27" i="7"/>
  <c r="F27" i="7"/>
  <c r="C27" i="7"/>
  <c r="D27" i="7"/>
  <c r="E27" i="7"/>
  <c r="K27" i="7"/>
  <c r="L27" i="7"/>
  <c r="M27" i="7"/>
  <c r="N27" i="7"/>
  <c r="A41" i="4"/>
  <c r="A41" i="5"/>
  <c r="D41" i="5"/>
  <c r="B28" i="7"/>
  <c r="F28" i="7"/>
  <c r="C28" i="7"/>
  <c r="D28" i="7"/>
  <c r="E28" i="7"/>
  <c r="K28" i="7"/>
  <c r="L28" i="7"/>
  <c r="M28" i="7"/>
  <c r="N28" i="7"/>
  <c r="A42" i="4"/>
  <c r="A43" i="5"/>
  <c r="D43" i="5"/>
  <c r="B29" i="7"/>
  <c r="F29" i="7"/>
  <c r="C29" i="7"/>
  <c r="D29" i="7"/>
  <c r="E29" i="7"/>
  <c r="K29" i="7"/>
  <c r="L29" i="7"/>
  <c r="M29" i="7"/>
  <c r="N29" i="7"/>
  <c r="A44" i="4"/>
  <c r="A44" i="5"/>
  <c r="D44" i="5"/>
  <c r="B30" i="7"/>
  <c r="F30" i="7"/>
  <c r="C30" i="7"/>
  <c r="D30" i="7"/>
  <c r="E30" i="7"/>
  <c r="K30" i="7"/>
  <c r="L30" i="7"/>
  <c r="M30" i="7"/>
  <c r="N30" i="7"/>
  <c r="A49" i="4"/>
  <c r="A48" i="5"/>
  <c r="D48" i="5"/>
  <c r="B31" i="7"/>
  <c r="F31" i="7"/>
  <c r="C31" i="7"/>
  <c r="K31" i="7"/>
  <c r="L31" i="7"/>
  <c r="D31" i="7"/>
  <c r="E31" i="7"/>
  <c r="M31" i="7"/>
  <c r="N31" i="7"/>
  <c r="A47" i="4"/>
  <c r="A47" i="5"/>
  <c r="D47" i="5"/>
  <c r="B32" i="7"/>
  <c r="F32" i="7"/>
  <c r="C32" i="7"/>
  <c r="D32" i="7"/>
  <c r="E32" i="7"/>
  <c r="K32" i="7"/>
  <c r="L32" i="7"/>
  <c r="M32" i="7"/>
  <c r="N32" i="7"/>
  <c r="A48" i="4"/>
  <c r="A49" i="5"/>
  <c r="D49" i="5"/>
  <c r="B33" i="7"/>
  <c r="F33" i="7"/>
  <c r="C33" i="7"/>
  <c r="K33" i="7"/>
  <c r="L33" i="7"/>
  <c r="D33" i="7"/>
  <c r="E33" i="7"/>
  <c r="M33" i="7"/>
  <c r="N33" i="7"/>
  <c r="A50" i="4"/>
  <c r="A50" i="5"/>
  <c r="D50" i="5"/>
  <c r="B34" i="7"/>
  <c r="F34" i="7"/>
  <c r="C34" i="7"/>
  <c r="D34" i="7"/>
  <c r="E34" i="7"/>
  <c r="K34" i="7"/>
  <c r="L34" i="7"/>
  <c r="M34" i="7"/>
  <c r="N34" i="7"/>
  <c r="A55" i="4"/>
  <c r="A54" i="5"/>
  <c r="D54" i="5"/>
  <c r="B35" i="7"/>
  <c r="F35" i="7"/>
  <c r="C35" i="7"/>
  <c r="K35" i="7"/>
  <c r="L35" i="7"/>
  <c r="D35" i="7"/>
  <c r="E35" i="7"/>
  <c r="M35" i="7"/>
  <c r="N35" i="7"/>
  <c r="A53" i="4"/>
  <c r="A53" i="5"/>
  <c r="D53" i="5"/>
  <c r="B36" i="7"/>
  <c r="F36" i="7"/>
  <c r="C36" i="7"/>
  <c r="K36" i="7"/>
  <c r="L36" i="7"/>
  <c r="D36" i="7"/>
  <c r="E36" i="7"/>
  <c r="M36" i="7"/>
  <c r="N36" i="7"/>
  <c r="A54" i="4"/>
  <c r="A55" i="5"/>
  <c r="D55" i="5"/>
  <c r="B37" i="7"/>
  <c r="F37" i="7"/>
  <c r="C37" i="7"/>
  <c r="D37" i="7"/>
  <c r="E37" i="7"/>
  <c r="K37" i="7"/>
  <c r="L37" i="7"/>
  <c r="M37" i="7"/>
  <c r="N37" i="7"/>
  <c r="A56" i="4"/>
  <c r="A56" i="5"/>
  <c r="D56" i="5"/>
  <c r="B38" i="7"/>
  <c r="F38" i="7"/>
  <c r="C38" i="7"/>
  <c r="K38" i="7"/>
  <c r="D38" i="7"/>
  <c r="E38" i="7"/>
  <c r="L38" i="7"/>
  <c r="M38" i="7"/>
  <c r="N38" i="7"/>
  <c r="A61" i="4"/>
  <c r="A60" i="5"/>
  <c r="D60" i="5"/>
  <c r="B39" i="7"/>
  <c r="F39" i="7"/>
  <c r="C39" i="7"/>
  <c r="D39" i="7"/>
  <c r="E39" i="7"/>
  <c r="K39" i="7"/>
  <c r="L39" i="7"/>
  <c r="M39" i="7"/>
  <c r="N39" i="7"/>
  <c r="A59" i="4"/>
  <c r="A59" i="5"/>
  <c r="D59" i="5"/>
  <c r="B40" i="7"/>
  <c r="F40" i="7"/>
  <c r="C40" i="7"/>
  <c r="D40" i="7"/>
  <c r="E40" i="7"/>
  <c r="K40" i="7"/>
  <c r="L40" i="7"/>
  <c r="M40" i="7"/>
  <c r="N40" i="7"/>
  <c r="A62" i="4"/>
  <c r="A62" i="5"/>
  <c r="D62" i="5"/>
  <c r="B41" i="7"/>
  <c r="F41" i="7"/>
  <c r="C41" i="7"/>
  <c r="K41" i="7"/>
  <c r="L41" i="7"/>
  <c r="M41" i="7"/>
  <c r="N41" i="7"/>
  <c r="A60" i="4"/>
  <c r="A61" i="5"/>
  <c r="D61" i="5"/>
  <c r="B42" i="7"/>
  <c r="F42" i="7"/>
  <c r="C42" i="7"/>
  <c r="K42" i="7"/>
  <c r="L42" i="7"/>
  <c r="M42" i="7"/>
  <c r="N42" i="7"/>
  <c r="C4" i="7"/>
  <c r="N4" i="7"/>
  <c r="M4" i="7"/>
  <c r="L4" i="7"/>
  <c r="K4" i="7"/>
  <c r="C3" i="7"/>
  <c r="N3" i="7"/>
  <c r="M3" i="7"/>
  <c r="L3" i="7"/>
  <c r="K3" i="7"/>
  <c r="H2" i="7"/>
  <c r="H4" i="7"/>
  <c r="J2" i="7"/>
  <c r="J22" i="7"/>
  <c r="G2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" i="7"/>
  <c r="I2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G4" i="7"/>
  <c r="J3" i="7"/>
  <c r="I3" i="7"/>
  <c r="H3" i="7"/>
  <c r="G3" i="7"/>
  <c r="N2" i="7"/>
  <c r="M2" i="7"/>
  <c r="L2" i="7"/>
  <c r="K2" i="7"/>
  <c r="D7" i="4"/>
  <c r="D8" i="4"/>
  <c r="C7" i="4"/>
  <c r="D11" i="4"/>
  <c r="D12" i="4"/>
  <c r="C11" i="4"/>
  <c r="D13" i="4"/>
  <c r="D14" i="4"/>
  <c r="C13" i="4"/>
  <c r="D17" i="4"/>
  <c r="D18" i="4"/>
  <c r="C17" i="4"/>
  <c r="D19" i="4"/>
  <c r="D20" i="4"/>
  <c r="C19" i="4"/>
  <c r="D23" i="4"/>
  <c r="D24" i="4"/>
  <c r="C23" i="4"/>
  <c r="D25" i="4"/>
  <c r="D26" i="4"/>
  <c r="C25" i="4"/>
  <c r="D29" i="4"/>
  <c r="D30" i="4"/>
  <c r="C29" i="4"/>
  <c r="D31" i="4"/>
  <c r="D32" i="4"/>
  <c r="C31" i="4"/>
  <c r="D35" i="4"/>
  <c r="D36" i="4"/>
  <c r="C35" i="4"/>
  <c r="D37" i="4"/>
  <c r="D38" i="4"/>
  <c r="C37" i="4"/>
  <c r="D41" i="4"/>
  <c r="D42" i="4"/>
  <c r="C41" i="4"/>
  <c r="D43" i="4"/>
  <c r="D44" i="4"/>
  <c r="C43" i="4"/>
  <c r="D47" i="4"/>
  <c r="D48" i="4"/>
  <c r="C47" i="4"/>
  <c r="D49" i="4"/>
  <c r="D50" i="4"/>
  <c r="C49" i="4"/>
  <c r="D53" i="4"/>
  <c r="D54" i="4"/>
  <c r="C53" i="4"/>
  <c r="D55" i="4"/>
  <c r="D56" i="4"/>
  <c r="C55" i="4"/>
  <c r="D59" i="4"/>
  <c r="D60" i="4"/>
  <c r="C59" i="4"/>
  <c r="D61" i="4"/>
  <c r="D62" i="4"/>
  <c r="C61" i="4"/>
  <c r="B5" i="5"/>
  <c r="B59" i="4"/>
  <c r="B53" i="4"/>
  <c r="B47" i="4"/>
  <c r="B41" i="4"/>
  <c r="B35" i="4"/>
  <c r="B29" i="4"/>
  <c r="B23" i="4"/>
  <c r="B17" i="4"/>
  <c r="B11" i="4"/>
  <c r="B5" i="4"/>
  <c r="C61" i="5"/>
  <c r="B61" i="5"/>
  <c r="C7" i="5"/>
  <c r="C11" i="5"/>
  <c r="C13" i="5"/>
  <c r="C17" i="5"/>
  <c r="C19" i="5"/>
  <c r="C23" i="5"/>
  <c r="C25" i="5"/>
  <c r="C29" i="5"/>
  <c r="C31" i="5"/>
  <c r="C35" i="5"/>
  <c r="C37" i="5"/>
  <c r="C41" i="5"/>
  <c r="C43" i="5"/>
  <c r="C47" i="5"/>
  <c r="C49" i="5"/>
  <c r="C53" i="5"/>
  <c r="C55" i="5"/>
  <c r="C59" i="5"/>
  <c r="B59" i="5"/>
  <c r="B55" i="5"/>
  <c r="B53" i="5"/>
  <c r="B49" i="5"/>
  <c r="B47" i="5"/>
  <c r="B43" i="5"/>
  <c r="B41" i="5"/>
  <c r="B37" i="5"/>
  <c r="B35" i="5"/>
  <c r="B31" i="5"/>
  <c r="B29" i="5"/>
  <c r="B25" i="5"/>
  <c r="B23" i="5"/>
  <c r="B19" i="5"/>
  <c r="B17" i="5"/>
  <c r="B13" i="5"/>
  <c r="B11" i="5"/>
  <c r="B7" i="5"/>
  <c r="H61" i="5"/>
  <c r="I61" i="5"/>
  <c r="H62" i="5"/>
  <c r="F62" i="5"/>
  <c r="G62" i="5"/>
  <c r="X6" i="5"/>
  <c r="X27" i="5"/>
  <c r="X4" i="5"/>
  <c r="X25" i="5"/>
  <c r="X3" i="5"/>
  <c r="X24" i="5"/>
  <c r="Z12" i="5"/>
  <c r="Z24" i="5"/>
  <c r="AB3" i="5"/>
  <c r="AC3" i="5"/>
  <c r="AD3" i="5"/>
  <c r="AB4" i="5"/>
  <c r="AC4" i="5"/>
  <c r="AD4" i="5"/>
  <c r="AB5" i="5"/>
  <c r="AC5" i="5"/>
  <c r="AD5" i="5"/>
  <c r="AB6" i="5"/>
  <c r="AC6" i="5"/>
  <c r="AD6" i="5"/>
  <c r="AB7" i="5"/>
  <c r="AC7" i="5"/>
  <c r="AD7" i="5"/>
  <c r="AB9" i="5"/>
  <c r="AC9" i="5"/>
  <c r="AD9" i="5"/>
  <c r="AB10" i="5"/>
  <c r="AC10" i="5"/>
  <c r="AD10" i="5"/>
  <c r="AB11" i="5"/>
  <c r="AC11" i="5"/>
  <c r="AD11" i="5"/>
  <c r="AB12" i="5"/>
  <c r="AC12" i="5"/>
  <c r="AD12" i="5"/>
  <c r="AB13" i="5"/>
  <c r="AC13" i="5"/>
  <c r="AD13" i="5"/>
  <c r="AB14" i="5"/>
  <c r="AC14" i="5"/>
  <c r="AD14" i="5"/>
  <c r="AB15" i="5"/>
  <c r="AC15" i="5"/>
  <c r="AD15" i="5"/>
  <c r="AB16" i="5"/>
  <c r="AC16" i="5"/>
  <c r="AD16" i="5"/>
  <c r="AB17" i="5"/>
  <c r="AC17" i="5"/>
  <c r="AD17" i="5"/>
  <c r="AB18" i="5"/>
  <c r="AC18" i="5"/>
  <c r="AD18" i="5"/>
  <c r="AB19" i="5"/>
  <c r="AC19" i="5"/>
  <c r="AD19" i="5"/>
  <c r="I62" i="5"/>
  <c r="J62" i="5"/>
  <c r="K62" i="5"/>
  <c r="J61" i="5"/>
  <c r="K61" i="5"/>
  <c r="H59" i="5"/>
  <c r="F59" i="5"/>
  <c r="G59" i="5"/>
  <c r="X8" i="5"/>
  <c r="X29" i="5"/>
  <c r="X9" i="5"/>
  <c r="X30" i="5"/>
  <c r="Y17" i="5"/>
  <c r="Y29" i="5"/>
  <c r="L10" i="1"/>
  <c r="L24" i="1"/>
  <c r="Z21" i="3"/>
  <c r="Y19" i="5"/>
  <c r="Y31" i="5"/>
  <c r="I59" i="5"/>
  <c r="H60" i="5"/>
  <c r="F60" i="5"/>
  <c r="G60" i="5"/>
  <c r="X10" i="5"/>
  <c r="X31" i="5"/>
  <c r="I60" i="5"/>
  <c r="J60" i="5"/>
  <c r="K60" i="5"/>
  <c r="J59" i="5"/>
  <c r="K59" i="5"/>
  <c r="H55" i="5"/>
  <c r="F55" i="5"/>
  <c r="G55" i="5"/>
  <c r="Y18" i="5"/>
  <c r="Y30" i="5"/>
  <c r="Z19" i="5"/>
  <c r="Z31" i="5"/>
  <c r="I55" i="5"/>
  <c r="H56" i="5"/>
  <c r="F56" i="5"/>
  <c r="G56" i="5"/>
  <c r="Y15" i="5"/>
  <c r="Y27" i="5"/>
  <c r="I56" i="5"/>
  <c r="J56" i="5"/>
  <c r="K56" i="5"/>
  <c r="J55" i="5"/>
  <c r="K55" i="5"/>
  <c r="H53" i="5"/>
  <c r="F53" i="5"/>
  <c r="G53" i="5"/>
  <c r="X7" i="5"/>
  <c r="X28" i="5"/>
  <c r="Y16" i="5"/>
  <c r="Y28" i="5"/>
  <c r="I53" i="5"/>
  <c r="H54" i="5"/>
  <c r="F54" i="5"/>
  <c r="G54" i="5"/>
  <c r="I54" i="5"/>
  <c r="J54" i="5"/>
  <c r="K54" i="5"/>
  <c r="J53" i="5"/>
  <c r="K53" i="5"/>
  <c r="H49" i="5"/>
  <c r="F49" i="5"/>
  <c r="G49" i="5"/>
  <c r="I49" i="5"/>
  <c r="H50" i="5"/>
  <c r="F50" i="5"/>
  <c r="G50" i="5"/>
  <c r="X5" i="5"/>
  <c r="X26" i="5"/>
  <c r="Z14" i="5"/>
  <c r="Z26" i="5"/>
  <c r="I50" i="5"/>
  <c r="J50" i="5"/>
  <c r="K50" i="5"/>
  <c r="J49" i="5"/>
  <c r="K49" i="5"/>
  <c r="H47" i="5"/>
  <c r="F47" i="5"/>
  <c r="G47" i="5"/>
  <c r="Y12" i="5"/>
  <c r="Y24" i="5"/>
  <c r="I47" i="5"/>
  <c r="H48" i="5"/>
  <c r="F48" i="5"/>
  <c r="G48" i="5"/>
  <c r="I48" i="5"/>
  <c r="J48" i="5"/>
  <c r="K48" i="5"/>
  <c r="J47" i="5"/>
  <c r="K47" i="5"/>
  <c r="H43" i="5"/>
  <c r="F43" i="5"/>
  <c r="G43" i="5"/>
  <c r="I43" i="5"/>
  <c r="H44" i="5"/>
  <c r="F44" i="5"/>
  <c r="G44" i="5"/>
  <c r="I44" i="5"/>
  <c r="J44" i="5"/>
  <c r="K44" i="5"/>
  <c r="J43" i="5"/>
  <c r="K43" i="5"/>
  <c r="H41" i="5"/>
  <c r="F41" i="5"/>
  <c r="G41" i="5"/>
  <c r="I41" i="5"/>
  <c r="H42" i="5"/>
  <c r="F42" i="5"/>
  <c r="G42" i="5"/>
  <c r="I42" i="5"/>
  <c r="J42" i="5"/>
  <c r="K42" i="5"/>
  <c r="J41" i="5"/>
  <c r="K41" i="5"/>
  <c r="H37" i="5"/>
  <c r="F37" i="5"/>
  <c r="G37" i="5"/>
  <c r="I37" i="5"/>
  <c r="H38" i="5"/>
  <c r="F38" i="5"/>
  <c r="G38" i="5"/>
  <c r="I38" i="5"/>
  <c r="J38" i="5"/>
  <c r="K38" i="5"/>
  <c r="J37" i="5"/>
  <c r="K37" i="5"/>
  <c r="H35" i="5"/>
  <c r="F35" i="5"/>
  <c r="G35" i="5"/>
  <c r="I35" i="5"/>
  <c r="H36" i="5"/>
  <c r="F36" i="5"/>
  <c r="G36" i="5"/>
  <c r="I36" i="5"/>
  <c r="J36" i="5"/>
  <c r="K36" i="5"/>
  <c r="J35" i="5"/>
  <c r="K35" i="5"/>
  <c r="H31" i="5"/>
  <c r="F31" i="5"/>
  <c r="G31" i="5"/>
  <c r="I31" i="5"/>
  <c r="H32" i="5"/>
  <c r="F32" i="5"/>
  <c r="G32" i="5"/>
  <c r="I32" i="5"/>
  <c r="J32" i="5"/>
  <c r="K32" i="5"/>
  <c r="J31" i="5"/>
  <c r="K31" i="5"/>
  <c r="H29" i="5"/>
  <c r="F29" i="5"/>
  <c r="G29" i="5"/>
  <c r="Z18" i="5"/>
  <c r="Z30" i="5"/>
  <c r="I29" i="5"/>
  <c r="H30" i="5"/>
  <c r="F30" i="5"/>
  <c r="G30" i="5"/>
  <c r="I30" i="5"/>
  <c r="J30" i="5"/>
  <c r="K30" i="5"/>
  <c r="J29" i="5"/>
  <c r="K29" i="5"/>
  <c r="H25" i="5"/>
  <c r="F25" i="5"/>
  <c r="G25" i="5"/>
  <c r="Z17" i="5"/>
  <c r="Z29" i="5"/>
  <c r="Z15" i="5"/>
  <c r="Z27" i="5"/>
  <c r="I25" i="5"/>
  <c r="H26" i="5"/>
  <c r="F26" i="5"/>
  <c r="G26" i="5"/>
  <c r="I26" i="5"/>
  <c r="J26" i="5"/>
  <c r="K26" i="5"/>
  <c r="J25" i="5"/>
  <c r="K25" i="5"/>
  <c r="H23" i="5"/>
  <c r="F23" i="5"/>
  <c r="G23" i="5"/>
  <c r="I23" i="5"/>
  <c r="H24" i="5"/>
  <c r="F24" i="5"/>
  <c r="G24" i="5"/>
  <c r="I24" i="5"/>
  <c r="J24" i="5"/>
  <c r="K24" i="5"/>
  <c r="J23" i="5"/>
  <c r="K23" i="5"/>
  <c r="H19" i="5"/>
  <c r="F19" i="5"/>
  <c r="G19" i="5"/>
  <c r="Z16" i="5"/>
  <c r="Z28" i="5"/>
  <c r="I19" i="5"/>
  <c r="H20" i="5"/>
  <c r="F20" i="5"/>
  <c r="G20" i="5"/>
  <c r="Y14" i="5"/>
  <c r="Y26" i="5"/>
  <c r="I20" i="5"/>
  <c r="J20" i="5"/>
  <c r="K20" i="5"/>
  <c r="J19" i="5"/>
  <c r="K19" i="5"/>
  <c r="H17" i="5"/>
  <c r="F17" i="5"/>
  <c r="G17" i="5"/>
  <c r="Y13" i="5"/>
  <c r="Y25" i="5"/>
  <c r="I17" i="5"/>
  <c r="H18" i="5"/>
  <c r="F18" i="5"/>
  <c r="G18" i="5"/>
  <c r="I18" i="5"/>
  <c r="J18" i="5"/>
  <c r="K18" i="5"/>
  <c r="J17" i="5"/>
  <c r="K17" i="5"/>
  <c r="H13" i="5"/>
  <c r="F13" i="5"/>
  <c r="G13" i="5"/>
  <c r="Z13" i="5"/>
  <c r="Z25" i="5"/>
  <c r="I13" i="5"/>
  <c r="H14" i="5"/>
  <c r="F14" i="5"/>
  <c r="G14" i="5"/>
  <c r="I14" i="5"/>
  <c r="J14" i="5"/>
  <c r="K14" i="5"/>
  <c r="J13" i="5"/>
  <c r="K13" i="5"/>
  <c r="H11" i="5"/>
  <c r="F11" i="5"/>
  <c r="G11" i="5"/>
  <c r="I11" i="5"/>
  <c r="H12" i="5"/>
  <c r="F12" i="5"/>
  <c r="G12" i="5"/>
  <c r="I12" i="5"/>
  <c r="J12" i="5"/>
  <c r="K12" i="5"/>
  <c r="J11" i="5"/>
  <c r="K11" i="5"/>
  <c r="H7" i="5"/>
  <c r="F7" i="5"/>
  <c r="G7" i="5"/>
  <c r="I7" i="5"/>
  <c r="H8" i="5"/>
  <c r="F8" i="5"/>
  <c r="G8" i="5"/>
  <c r="I8" i="5"/>
  <c r="J8" i="5"/>
  <c r="K8" i="5"/>
  <c r="J7" i="5"/>
  <c r="K7" i="5"/>
  <c r="H5" i="5"/>
  <c r="F5" i="5"/>
  <c r="G5" i="5"/>
  <c r="I5" i="5"/>
  <c r="H6" i="5"/>
  <c r="F6" i="5"/>
  <c r="G6" i="5"/>
  <c r="I6" i="5"/>
  <c r="J6" i="5"/>
  <c r="K6" i="5"/>
  <c r="J5" i="5"/>
  <c r="K5" i="5"/>
  <c r="E13" i="5"/>
  <c r="E12" i="5"/>
  <c r="E11" i="5"/>
  <c r="E12" i="4"/>
  <c r="E11" i="4"/>
  <c r="E14" i="4"/>
  <c r="E13" i="4"/>
  <c r="E62" i="5"/>
  <c r="E61" i="5"/>
  <c r="E60" i="5"/>
  <c r="E59" i="5"/>
  <c r="E56" i="5"/>
  <c r="E55" i="5"/>
  <c r="E54" i="5"/>
  <c r="E53" i="5"/>
  <c r="E50" i="5"/>
  <c r="E49" i="5"/>
  <c r="E48" i="5"/>
  <c r="E47" i="5"/>
  <c r="E44" i="5"/>
  <c r="E43" i="5"/>
  <c r="E42" i="5"/>
  <c r="E41" i="5"/>
  <c r="E38" i="5"/>
  <c r="E37" i="5"/>
  <c r="E36" i="5"/>
  <c r="E35" i="5"/>
  <c r="E32" i="5"/>
  <c r="E31" i="5"/>
  <c r="E30" i="5"/>
  <c r="E29" i="5"/>
  <c r="E26" i="5"/>
  <c r="E25" i="5"/>
  <c r="E24" i="5"/>
  <c r="E23" i="5"/>
  <c r="E20" i="5"/>
  <c r="E19" i="5"/>
  <c r="E18" i="5"/>
  <c r="E17" i="5"/>
  <c r="E14" i="5"/>
  <c r="E8" i="5"/>
  <c r="E7" i="5"/>
  <c r="E6" i="5"/>
  <c r="E5" i="5"/>
  <c r="H25" i="4"/>
  <c r="F25" i="4"/>
  <c r="Z12" i="4"/>
  <c r="Z24" i="4"/>
  <c r="X5" i="4"/>
  <c r="X26" i="4"/>
  <c r="Z15" i="4"/>
  <c r="Z27" i="4"/>
  <c r="X7" i="4"/>
  <c r="X28" i="4"/>
  <c r="Y16" i="4"/>
  <c r="Y28" i="4"/>
  <c r="Z16" i="4"/>
  <c r="Z28" i="4"/>
  <c r="Z17" i="4"/>
  <c r="Z29" i="4"/>
  <c r="Z18" i="4"/>
  <c r="Z30" i="4"/>
  <c r="X10" i="4"/>
  <c r="X31" i="4"/>
  <c r="Y19" i="4"/>
  <c r="Y31" i="4"/>
  <c r="Z19" i="4"/>
  <c r="Z31" i="4"/>
  <c r="G25" i="4"/>
  <c r="AB3" i="4"/>
  <c r="AC3" i="4"/>
  <c r="AD3" i="4"/>
  <c r="AB4" i="4"/>
  <c r="AC4" i="4"/>
  <c r="AD4" i="4"/>
  <c r="AB5" i="4"/>
  <c r="AC5" i="4"/>
  <c r="AD5" i="4"/>
  <c r="AB6" i="4"/>
  <c r="AC6" i="4"/>
  <c r="AD6" i="4"/>
  <c r="AB9" i="4"/>
  <c r="AC9" i="4"/>
  <c r="AD9" i="4"/>
  <c r="AB10" i="4"/>
  <c r="AC10" i="4"/>
  <c r="AD10" i="4"/>
  <c r="AB11" i="4"/>
  <c r="AC11" i="4"/>
  <c r="AD11" i="4"/>
  <c r="AB12" i="4"/>
  <c r="AC12" i="4"/>
  <c r="AD12" i="4"/>
  <c r="AB13" i="4"/>
  <c r="AC13" i="4"/>
  <c r="AD13" i="4"/>
  <c r="AB14" i="4"/>
  <c r="AC14" i="4"/>
  <c r="AD14" i="4"/>
  <c r="AB15" i="4"/>
  <c r="AC15" i="4"/>
  <c r="AD15" i="4"/>
  <c r="AB16" i="4"/>
  <c r="AC16" i="4"/>
  <c r="AD16" i="4"/>
  <c r="AB17" i="4"/>
  <c r="AC17" i="4"/>
  <c r="AD17" i="4"/>
  <c r="AB18" i="4"/>
  <c r="AC18" i="4"/>
  <c r="AD18" i="4"/>
  <c r="AB19" i="4"/>
  <c r="AC19" i="4"/>
  <c r="AD19" i="4"/>
  <c r="I25" i="4"/>
  <c r="H26" i="4"/>
  <c r="F26" i="4"/>
  <c r="G26" i="4"/>
  <c r="I26" i="4"/>
  <c r="J26" i="4"/>
  <c r="J25" i="4"/>
  <c r="F23" i="4"/>
  <c r="G23" i="4"/>
  <c r="I23" i="4"/>
  <c r="H24" i="4"/>
  <c r="F24" i="4"/>
  <c r="G24" i="4"/>
  <c r="I24" i="4"/>
  <c r="J24" i="4"/>
  <c r="J23" i="4"/>
  <c r="H19" i="4"/>
  <c r="F19" i="4"/>
  <c r="G19" i="4"/>
  <c r="I19" i="4"/>
  <c r="H20" i="4"/>
  <c r="F20" i="4"/>
  <c r="G20" i="4"/>
  <c r="I20" i="4"/>
  <c r="J20" i="4"/>
  <c r="J19" i="4"/>
  <c r="H17" i="4"/>
  <c r="F17" i="4"/>
  <c r="G17" i="4"/>
  <c r="I17" i="4"/>
  <c r="H18" i="4"/>
  <c r="F18" i="4"/>
  <c r="G18" i="4"/>
  <c r="I18" i="4"/>
  <c r="J18" i="4"/>
  <c r="J17" i="4"/>
  <c r="H13" i="4"/>
  <c r="F13" i="4"/>
  <c r="G13" i="4"/>
  <c r="I13" i="4"/>
  <c r="H14" i="4"/>
  <c r="F14" i="4"/>
  <c r="G14" i="4"/>
  <c r="I14" i="4"/>
  <c r="J14" i="4"/>
  <c r="J13" i="4"/>
  <c r="H11" i="4"/>
  <c r="F11" i="4"/>
  <c r="G11" i="4"/>
  <c r="I11" i="4"/>
  <c r="H12" i="4"/>
  <c r="F12" i="4"/>
  <c r="G12" i="4"/>
  <c r="I12" i="4"/>
  <c r="J12" i="4"/>
  <c r="J11" i="4"/>
  <c r="H7" i="4"/>
  <c r="F7" i="4"/>
  <c r="G7" i="4"/>
  <c r="I7" i="4"/>
  <c r="H8" i="4"/>
  <c r="F8" i="4"/>
  <c r="G8" i="4"/>
  <c r="I8" i="4"/>
  <c r="J8" i="4"/>
  <c r="J7" i="4"/>
  <c r="H6" i="4"/>
  <c r="F6" i="4"/>
  <c r="G6" i="4"/>
  <c r="I6" i="4"/>
  <c r="J6" i="4"/>
  <c r="J5" i="4"/>
  <c r="H31" i="4"/>
  <c r="F31" i="4"/>
  <c r="G31" i="4"/>
  <c r="I31" i="4"/>
  <c r="H32" i="4"/>
  <c r="F32" i="4"/>
  <c r="G32" i="4"/>
  <c r="I32" i="4"/>
  <c r="J32" i="4"/>
  <c r="J31" i="4"/>
  <c r="H29" i="4"/>
  <c r="F29" i="4"/>
  <c r="G29" i="4"/>
  <c r="I29" i="4"/>
  <c r="H30" i="4"/>
  <c r="F30" i="4"/>
  <c r="G30" i="4"/>
  <c r="I30" i="4"/>
  <c r="J30" i="4"/>
  <c r="J29" i="4"/>
  <c r="H37" i="4"/>
  <c r="F37" i="4"/>
  <c r="G37" i="4"/>
  <c r="I37" i="4"/>
  <c r="H38" i="4"/>
  <c r="F38" i="4"/>
  <c r="G38" i="4"/>
  <c r="I38" i="4"/>
  <c r="J38" i="4"/>
  <c r="J37" i="4"/>
  <c r="H35" i="4"/>
  <c r="F35" i="4"/>
  <c r="G35" i="4"/>
  <c r="I35" i="4"/>
  <c r="H36" i="4"/>
  <c r="F36" i="4"/>
  <c r="G36" i="4"/>
  <c r="I36" i="4"/>
  <c r="J36" i="4"/>
  <c r="J35" i="4"/>
  <c r="H43" i="4"/>
  <c r="F43" i="4"/>
  <c r="G43" i="4"/>
  <c r="I43" i="4"/>
  <c r="H44" i="4"/>
  <c r="F44" i="4"/>
  <c r="G44" i="4"/>
  <c r="I44" i="4"/>
  <c r="J44" i="4"/>
  <c r="J43" i="4"/>
  <c r="H41" i="4"/>
  <c r="F41" i="4"/>
  <c r="G41" i="4"/>
  <c r="I41" i="4"/>
  <c r="H42" i="4"/>
  <c r="F42" i="4"/>
  <c r="G42" i="4"/>
  <c r="I42" i="4"/>
  <c r="J42" i="4"/>
  <c r="J41" i="4"/>
  <c r="H47" i="4"/>
  <c r="F47" i="4"/>
  <c r="G47" i="4"/>
  <c r="I47" i="4"/>
  <c r="H48" i="4"/>
  <c r="F48" i="4"/>
  <c r="G48" i="4"/>
  <c r="I48" i="4"/>
  <c r="J48" i="4"/>
  <c r="J47" i="4"/>
  <c r="H61" i="4"/>
  <c r="F61" i="4"/>
  <c r="G61" i="4"/>
  <c r="I61" i="4"/>
  <c r="H62" i="4"/>
  <c r="F62" i="4"/>
  <c r="G62" i="4"/>
  <c r="I62" i="4"/>
  <c r="J62" i="4"/>
  <c r="J61" i="4"/>
  <c r="H59" i="4"/>
  <c r="F59" i="4"/>
  <c r="G59" i="4"/>
  <c r="I59" i="4"/>
  <c r="H60" i="4"/>
  <c r="I60" i="4"/>
  <c r="J60" i="4"/>
  <c r="J59" i="4"/>
  <c r="H55" i="4"/>
  <c r="F55" i="4"/>
  <c r="G55" i="4"/>
  <c r="I55" i="4"/>
  <c r="H56" i="4"/>
  <c r="F56" i="4"/>
  <c r="G56" i="4"/>
  <c r="I56" i="4"/>
  <c r="J56" i="4"/>
  <c r="J55" i="4"/>
  <c r="H53" i="4"/>
  <c r="F53" i="4"/>
  <c r="G53" i="4"/>
  <c r="I53" i="4"/>
  <c r="H54" i="4"/>
  <c r="F54" i="4"/>
  <c r="G54" i="4"/>
  <c r="I54" i="4"/>
  <c r="J53" i="4"/>
  <c r="H49" i="4"/>
  <c r="F49" i="4"/>
  <c r="G49" i="4"/>
  <c r="I49" i="4"/>
  <c r="H50" i="4"/>
  <c r="F50" i="4"/>
  <c r="G50" i="4"/>
  <c r="I50" i="4"/>
  <c r="J50" i="4"/>
  <c r="J49" i="4"/>
  <c r="E62" i="4"/>
  <c r="E61" i="4"/>
  <c r="E60" i="4"/>
  <c r="E59" i="4"/>
  <c r="E56" i="4"/>
  <c r="E55" i="4"/>
  <c r="E54" i="4"/>
  <c r="E53" i="4"/>
  <c r="E50" i="4"/>
  <c r="E49" i="4"/>
  <c r="E48" i="4"/>
  <c r="E47" i="4"/>
  <c r="E44" i="4"/>
  <c r="E43" i="4"/>
  <c r="E42" i="4"/>
  <c r="E41" i="4"/>
  <c r="E38" i="4"/>
  <c r="E37" i="4"/>
  <c r="E36" i="4"/>
  <c r="E35" i="4"/>
  <c r="E32" i="4"/>
  <c r="E31" i="4"/>
  <c r="E30" i="4"/>
  <c r="E29" i="4"/>
  <c r="E26" i="4"/>
  <c r="E25" i="4"/>
  <c r="E24" i="4"/>
  <c r="E23" i="4"/>
  <c r="E20" i="4"/>
  <c r="E19" i="4"/>
  <c r="E18" i="4"/>
  <c r="E17" i="4"/>
  <c r="E6" i="4"/>
  <c r="E7" i="4"/>
  <c r="E8" i="4"/>
  <c r="A9" i="3"/>
  <c r="A5" i="3"/>
  <c r="A41" i="3"/>
  <c r="A37" i="3"/>
  <c r="A33" i="3"/>
  <c r="A29" i="3"/>
  <c r="A25" i="3"/>
  <c r="A21" i="3"/>
  <c r="A17" i="3"/>
  <c r="A13" i="3"/>
  <c r="D41" i="7"/>
  <c r="D42" i="7"/>
  <c r="E41" i="7"/>
  <c r="E42" i="7"/>
  <c r="A42" i="7"/>
  <c r="A41" i="7"/>
  <c r="A40" i="7"/>
  <c r="A39" i="7"/>
  <c r="A38" i="7"/>
  <c r="A37" i="7"/>
  <c r="A36" i="7"/>
  <c r="A35" i="7"/>
  <c r="A34" i="7"/>
  <c r="A33" i="7"/>
  <c r="A32" i="7"/>
  <c r="A31" i="7"/>
  <c r="A26" i="7"/>
  <c r="A27" i="7"/>
  <c r="A28" i="7"/>
  <c r="A29" i="7"/>
  <c r="A30" i="7"/>
  <c r="R43" i="3"/>
  <c r="R44" i="3"/>
  <c r="R45" i="3"/>
  <c r="R46" i="3"/>
  <c r="G61" i="5"/>
  <c r="F61" i="5"/>
  <c r="K62" i="4"/>
  <c r="K61" i="4"/>
  <c r="K60" i="4"/>
  <c r="G60" i="4"/>
  <c r="F60" i="4"/>
  <c r="K59" i="4"/>
  <c r="K56" i="4"/>
  <c r="K55" i="4"/>
  <c r="J54" i="4"/>
  <c r="K54" i="4"/>
  <c r="K53" i="4"/>
  <c r="K50" i="4"/>
  <c r="K49" i="4"/>
  <c r="K48" i="4"/>
  <c r="K47" i="4"/>
  <c r="K44" i="4"/>
  <c r="K43" i="4"/>
  <c r="K42" i="4"/>
  <c r="K41" i="4"/>
  <c r="Z7" i="5"/>
  <c r="Z9" i="3"/>
  <c r="Y7" i="5"/>
  <c r="X15" i="4"/>
  <c r="X18" i="4"/>
  <c r="X16" i="5"/>
  <c r="J3" i="1"/>
  <c r="Y22" i="5"/>
  <c r="D2" i="4"/>
  <c r="J2" i="4"/>
  <c r="J2" i="5"/>
  <c r="Y22" i="4"/>
  <c r="X14" i="4"/>
  <c r="J11" i="1"/>
  <c r="D2" i="5"/>
  <c r="F1" i="3"/>
  <c r="C20" i="1"/>
  <c r="D20" i="1"/>
  <c r="E20" i="1"/>
  <c r="F20" i="1"/>
  <c r="G20" i="1"/>
  <c r="H20" i="1"/>
  <c r="J5" i="1"/>
  <c r="J4" i="1"/>
  <c r="C13" i="1"/>
  <c r="D13" i="1"/>
  <c r="J7" i="1"/>
  <c r="J8" i="1"/>
  <c r="J9" i="1"/>
  <c r="J10" i="1"/>
  <c r="C21" i="1"/>
  <c r="D21" i="1"/>
  <c r="E21" i="1"/>
  <c r="F21" i="1"/>
  <c r="H22" i="1"/>
  <c r="H21" i="1"/>
  <c r="H23" i="1"/>
  <c r="G22" i="1"/>
  <c r="G21" i="1"/>
  <c r="G23" i="1"/>
  <c r="E13" i="1"/>
  <c r="F13" i="1"/>
  <c r="X12" i="5"/>
  <c r="D22" i="1"/>
  <c r="F22" i="1"/>
  <c r="E22" i="1"/>
  <c r="C22" i="1"/>
  <c r="J6" i="1"/>
  <c r="L11" i="1"/>
  <c r="M11" i="1"/>
  <c r="O3" i="1"/>
  <c r="Z12" i="3"/>
  <c r="N10" i="1"/>
  <c r="Z7" i="3"/>
  <c r="Y5" i="4"/>
  <c r="N5" i="1"/>
  <c r="Z4" i="5"/>
  <c r="O4" i="1"/>
  <c r="O6" i="1"/>
  <c r="N8" i="1"/>
  <c r="Z8" i="3"/>
  <c r="Y6" i="4"/>
  <c r="N7" i="1"/>
  <c r="Y9" i="4"/>
  <c r="O11" i="1"/>
  <c r="O9" i="1"/>
  <c r="Z8" i="5"/>
  <c r="N6" i="1"/>
  <c r="N9" i="1"/>
  <c r="Z10" i="3"/>
  <c r="Y8" i="4"/>
  <c r="O10" i="1"/>
  <c r="Z10" i="4"/>
  <c r="O7" i="1"/>
  <c r="Z5" i="4"/>
  <c r="O5" i="1"/>
  <c r="N11" i="1"/>
  <c r="N4" i="1"/>
  <c r="Z6" i="3"/>
  <c r="Y4" i="4"/>
  <c r="N3" i="1"/>
  <c r="Z5" i="3"/>
  <c r="O8" i="1"/>
  <c r="Z6" i="4"/>
  <c r="Z7" i="4"/>
  <c r="Y3" i="5"/>
  <c r="Y3" i="4"/>
  <c r="Z9" i="4"/>
  <c r="A18" i="7"/>
  <c r="A13" i="7"/>
  <c r="A15" i="7"/>
  <c r="A14" i="7"/>
  <c r="A16" i="7"/>
  <c r="A17" i="7"/>
  <c r="A22" i="7"/>
  <c r="A21" i="7"/>
  <c r="A12" i="7"/>
  <c r="A23" i="7"/>
  <c r="A19" i="7"/>
  <c r="A20" i="7"/>
  <c r="A24" i="7"/>
  <c r="A25" i="7"/>
  <c r="X14" i="5"/>
  <c r="Z3" i="5"/>
  <c r="X12" i="4"/>
  <c r="X15" i="5"/>
  <c r="Z8" i="4"/>
  <c r="Y10" i="5"/>
  <c r="Y7" i="4"/>
  <c r="Z4" i="4"/>
  <c r="Z5" i="5"/>
  <c r="Y10" i="4"/>
  <c r="Z6" i="5"/>
  <c r="X13" i="4"/>
  <c r="X18" i="5"/>
  <c r="Z3" i="4"/>
  <c r="Y8" i="5"/>
  <c r="Y4" i="5"/>
  <c r="X13" i="5"/>
  <c r="X16" i="4"/>
  <c r="X19" i="4"/>
  <c r="X19" i="5"/>
  <c r="M25" i="1"/>
  <c r="L25" i="1"/>
  <c r="Z9" i="5"/>
  <c r="Y9" i="5"/>
  <c r="Z10" i="5"/>
  <c r="Y6" i="5"/>
  <c r="Y5" i="5"/>
  <c r="X17" i="5"/>
  <c r="X17" i="4"/>
  <c r="A4" i="7"/>
  <c r="A8" i="7"/>
  <c r="A5" i="7"/>
  <c r="A11" i="7"/>
  <c r="A9" i="7"/>
  <c r="A6" i="7"/>
  <c r="A10" i="7"/>
  <c r="A7" i="7"/>
  <c r="A3" i="7"/>
  <c r="K37" i="4"/>
  <c r="K38" i="4"/>
  <c r="K29" i="4"/>
  <c r="K31" i="4"/>
  <c r="K32" i="4"/>
  <c r="K35" i="4"/>
  <c r="K36" i="4"/>
  <c r="K30" i="4"/>
  <c r="K20" i="4"/>
  <c r="K19" i="4"/>
  <c r="K24" i="4"/>
  <c r="K23" i="4"/>
  <c r="K17" i="4"/>
  <c r="K11" i="4"/>
  <c r="K18" i="4"/>
  <c r="K7" i="4"/>
  <c r="K26" i="4"/>
  <c r="K25" i="4"/>
  <c r="K5" i="4"/>
  <c r="K6" i="4"/>
  <c r="K12" i="4"/>
  <c r="K14" i="4"/>
  <c r="K13" i="4"/>
  <c r="K8" i="4"/>
</calcChain>
</file>

<file path=xl/sharedStrings.xml><?xml version="1.0" encoding="utf-8"?>
<sst xmlns="http://schemas.openxmlformats.org/spreadsheetml/2006/main" count="429" uniqueCount="91">
  <si>
    <t>Distance</t>
  </si>
  <si>
    <t>Crew Rank Error:</t>
  </si>
  <si>
    <t>If error returned add 0.1secs randomly to one of the crews that are ranked the same</t>
  </si>
  <si>
    <t>Racing for</t>
  </si>
  <si>
    <t>Rank</t>
  </si>
  <si>
    <t>Club</t>
  </si>
  <si>
    <t>Crew Number</t>
  </si>
  <si>
    <t>Boat Type</t>
  </si>
  <si>
    <t>Age</t>
  </si>
  <si>
    <t>Sex</t>
  </si>
  <si>
    <t>Start Time</t>
  </si>
  <si>
    <t>Finish Time</t>
  </si>
  <si>
    <t>Name</t>
  </si>
  <si>
    <t>Time</t>
  </si>
  <si>
    <t>Time (s)</t>
  </si>
  <si>
    <t>Handicap</t>
  </si>
  <si>
    <t>Factor (Time / Handicap)</t>
  </si>
  <si>
    <t>Loss (%)</t>
  </si>
  <si>
    <t>To win (s)</t>
  </si>
  <si>
    <t>Male</t>
  </si>
  <si>
    <t>Female</t>
  </si>
  <si>
    <t>Composite</t>
  </si>
  <si>
    <t>1x</t>
  </si>
  <si>
    <t>M</t>
  </si>
  <si>
    <t>Age adjusted</t>
  </si>
  <si>
    <t>JOG</t>
  </si>
  <si>
    <t>2-</t>
  </si>
  <si>
    <t>F</t>
  </si>
  <si>
    <t>LUBC</t>
  </si>
  <si>
    <t>2x</t>
  </si>
  <si>
    <t/>
  </si>
  <si>
    <t>LSRA</t>
  </si>
  <si>
    <t>4+</t>
  </si>
  <si>
    <t>4-</t>
  </si>
  <si>
    <t>LRGSBC</t>
  </si>
  <si>
    <t>4x+</t>
  </si>
  <si>
    <t>4x</t>
  </si>
  <si>
    <t>8+</t>
  </si>
  <si>
    <t>2000m</t>
  </si>
  <si>
    <t>DISTANCE:</t>
  </si>
  <si>
    <t>Rank from TT</t>
  </si>
  <si>
    <t>Racing For</t>
  </si>
  <si>
    <t>Race Number</t>
  </si>
  <si>
    <t>Crew</t>
  </si>
  <si>
    <t>Boat</t>
  </si>
  <si>
    <t>Result</t>
  </si>
  <si>
    <t>FINAL RANK</t>
  </si>
  <si>
    <t>CREW NUMBER</t>
  </si>
  <si>
    <t>CLUB</t>
  </si>
  <si>
    <t>BOAT TYPE</t>
  </si>
  <si>
    <t>Ind. Rank</t>
  </si>
  <si>
    <t>TIME TRIAL RANK</t>
  </si>
  <si>
    <t>Points</t>
  </si>
  <si>
    <t>Participants</t>
  </si>
  <si>
    <t>8x</t>
  </si>
  <si>
    <t>8 athletes used from each club for club rankings</t>
  </si>
  <si>
    <t>Men's International</t>
  </si>
  <si>
    <t>Men's National</t>
  </si>
  <si>
    <t>Women's International</t>
  </si>
  <si>
    <t>Women's National</t>
  </si>
  <si>
    <t>J15 National</t>
  </si>
  <si>
    <t>WJ15 National</t>
  </si>
  <si>
    <t>Erg</t>
  </si>
  <si>
    <t xml:space="preserve"> 1.7834x2 + 73.664x - 77.109</t>
  </si>
  <si>
    <t>Av. Male</t>
  </si>
  <si>
    <t>Av. Female</t>
  </si>
  <si>
    <t>adjusted for distance</t>
  </si>
  <si>
    <t>based on ergs</t>
  </si>
  <si>
    <t>male</t>
  </si>
  <si>
    <t>female</t>
  </si>
  <si>
    <t>Av. All</t>
  </si>
  <si>
    <t>Calculations to work out 4x+ times in red</t>
  </si>
  <si>
    <t>1x and 2x</t>
  </si>
  <si>
    <t>Calculations to work out Women's International 4+</t>
  </si>
  <si>
    <t>Average</t>
  </si>
  <si>
    <t>erg adjusted</t>
  </si>
  <si>
    <t>Senior</t>
  </si>
  <si>
    <t>adjusted to 100%</t>
  </si>
  <si>
    <t>A</t>
  </si>
  <si>
    <t>B</t>
  </si>
  <si>
    <t>C</t>
  </si>
  <si>
    <t>D</t>
  </si>
  <si>
    <t>E</t>
  </si>
  <si>
    <t>G</t>
  </si>
  <si>
    <t>H</t>
  </si>
  <si>
    <t>I</t>
  </si>
  <si>
    <t>S</t>
  </si>
  <si>
    <t>Time Trial</t>
  </si>
  <si>
    <t>Windermere</t>
  </si>
  <si>
    <t>Karen</t>
  </si>
  <si>
    <t>JOG/LSRA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</si>
</sst>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h:mm:ss;@"/>
    <numFmt numFmtId="167" formatCode="0.0%"/>
    <numFmt numFmtId="168" formatCode="0.00000"/>
    <numFmt numFmtId="169" formatCode="_-* #,##0.000_-;\-* #,##0.000_-;_-* &quot;-&quot;???_-;_-@_-"/>
    <numFmt numFmtId="170" formatCode="_-* #,##0_-;\-* #,##0_-;_-* &quot;-&quot;??_-;_-@_-"/>
    <numFmt numFmtId="171" formatCode="hh:mm:ss;@"/>
    <numFmt numFmtId="172" formatCode="_-* #,##0.000_-;\-* #,##0.0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40"/>
      <name val="Calibri"/>
      <family val="2"/>
    </font>
    <font>
      <sz val="11"/>
      <color indexed="56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0">
    <xf numFmtId="0" fontId="0" fillId="0" borderId="0" xfId="0"/>
    <xf numFmtId="0" fontId="3" fillId="0" borderId="0" xfId="0" applyFont="1" applyAlignment="1">
      <alignment horizontal="center" vertical="center" wrapText="1"/>
    </xf>
    <xf numFmtId="47" fontId="0" fillId="0" borderId="0" xfId="0" applyNumberFormat="1"/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47" fontId="0" fillId="0" borderId="0" xfId="0" applyNumberFormat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164" fontId="2" fillId="0" borderId="0" xfId="1" applyNumberFormat="1" applyFon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0" xfId="0" applyNumberFormat="1" applyBorder="1"/>
    <xf numFmtId="164" fontId="0" fillId="0" borderId="0" xfId="0" applyNumberFormat="1" applyBorder="1" applyAlignment="1">
      <alignment horizontal="right"/>
    </xf>
    <xf numFmtId="164" fontId="2" fillId="0" borderId="3" xfId="1" applyNumberFormat="1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43" fontId="0" fillId="0" borderId="5" xfId="0" applyNumberFormat="1" applyBorder="1"/>
    <xf numFmtId="43" fontId="0" fillId="0" borderId="6" xfId="0" applyNumberFormat="1" applyBorder="1"/>
    <xf numFmtId="47" fontId="0" fillId="0" borderId="0" xfId="0" applyNumberFormat="1" applyBorder="1"/>
    <xf numFmtId="0" fontId="0" fillId="0" borderId="7" xfId="0" applyBorder="1"/>
    <xf numFmtId="0" fontId="0" fillId="0" borderId="8" xfId="0" applyBorder="1"/>
    <xf numFmtId="47" fontId="0" fillId="0" borderId="3" xfId="0" applyNumberFormat="1" applyBorder="1"/>
    <xf numFmtId="0" fontId="0" fillId="0" borderId="3" xfId="0" applyBorder="1"/>
    <xf numFmtId="0" fontId="0" fillId="0" borderId="6" xfId="0" applyBorder="1"/>
    <xf numFmtId="0" fontId="1" fillId="0" borderId="0" xfId="0" applyFont="1"/>
    <xf numFmtId="0" fontId="3" fillId="0" borderId="9" xfId="0" applyFont="1" applyBorder="1" applyAlignment="1">
      <alignment horizontal="center"/>
    </xf>
    <xf numFmtId="164" fontId="2" fillId="0" borderId="0" xfId="1" applyNumberFormat="1" applyFont="1" applyAlignment="1">
      <alignment horizontal="right"/>
    </xf>
    <xf numFmtId="164" fontId="2" fillId="0" borderId="0" xfId="1" applyNumberFormat="1" applyFont="1"/>
    <xf numFmtId="47" fontId="0" fillId="0" borderId="0" xfId="0" applyNumberFormat="1" applyAlignment="1">
      <alignment horizontal="right"/>
    </xf>
    <xf numFmtId="47" fontId="0" fillId="0" borderId="1" xfId="0" applyNumberFormat="1" applyFont="1" applyBorder="1" applyAlignment="1">
      <alignment wrapText="1"/>
    </xf>
    <xf numFmtId="47" fontId="0" fillId="0" borderId="7" xfId="0" applyNumberFormat="1" applyFont="1" applyBorder="1" applyAlignment="1">
      <alignment horizontal="right"/>
    </xf>
    <xf numFmtId="47" fontId="0" fillId="0" borderId="7" xfId="0" applyNumberFormat="1" applyFont="1" applyBorder="1" applyAlignment="1">
      <alignment wrapText="1"/>
    </xf>
    <xf numFmtId="47" fontId="0" fillId="0" borderId="8" xfId="0" applyNumberFormat="1" applyFont="1" applyBorder="1" applyAlignment="1">
      <alignment horizontal="right"/>
    </xf>
    <xf numFmtId="47" fontId="0" fillId="0" borderId="2" xfId="0" applyNumberFormat="1" applyFont="1" applyBorder="1" applyAlignment="1">
      <alignment wrapText="1"/>
    </xf>
    <xf numFmtId="47" fontId="0" fillId="0" borderId="0" xfId="0" applyNumberFormat="1" applyFont="1" applyBorder="1" applyAlignment="1">
      <alignment horizontal="right"/>
    </xf>
    <xf numFmtId="47" fontId="0" fillId="0" borderId="0" xfId="0" applyNumberFormat="1" applyFont="1" applyBorder="1" applyAlignment="1">
      <alignment wrapText="1"/>
    </xf>
    <xf numFmtId="47" fontId="0" fillId="0" borderId="3" xfId="0" applyNumberFormat="1" applyFont="1" applyBorder="1" applyAlignment="1">
      <alignment horizontal="right"/>
    </xf>
    <xf numFmtId="47" fontId="4" fillId="0" borderId="0" xfId="0" applyNumberFormat="1" applyFont="1" applyBorder="1"/>
    <xf numFmtId="47" fontId="4" fillId="0" borderId="2" xfId="0" applyNumberFormat="1" applyFont="1" applyBorder="1" applyAlignment="1">
      <alignment wrapText="1"/>
    </xf>
    <xf numFmtId="47" fontId="4" fillId="0" borderId="0" xfId="0" applyNumberFormat="1" applyFont="1" applyBorder="1" applyAlignment="1">
      <alignment horizontal="right"/>
    </xf>
    <xf numFmtId="47" fontId="4" fillId="0" borderId="0" xfId="0" applyNumberFormat="1" applyFont="1" applyBorder="1" applyAlignment="1">
      <alignment wrapText="1"/>
    </xf>
    <xf numFmtId="47" fontId="4" fillId="0" borderId="3" xfId="0" applyNumberFormat="1" applyFont="1" applyBorder="1" applyAlignment="1">
      <alignment horizontal="right"/>
    </xf>
    <xf numFmtId="47" fontId="0" fillId="0" borderId="4" xfId="0" applyNumberFormat="1" applyFont="1" applyBorder="1" applyAlignment="1">
      <alignment wrapText="1"/>
    </xf>
    <xf numFmtId="47" fontId="0" fillId="0" borderId="5" xfId="0" applyNumberFormat="1" applyFont="1" applyBorder="1"/>
    <xf numFmtId="47" fontId="0" fillId="0" borderId="5" xfId="0" applyNumberFormat="1" applyFont="1" applyBorder="1" applyAlignment="1">
      <alignment wrapText="1"/>
    </xf>
    <xf numFmtId="47" fontId="0" fillId="0" borderId="6" xfId="0" applyNumberFormat="1" applyFont="1" applyBorder="1"/>
    <xf numFmtId="0" fontId="0" fillId="0" borderId="0" xfId="0" applyAlignment="1">
      <alignment horizontal="right"/>
    </xf>
    <xf numFmtId="9" fontId="5" fillId="0" borderId="0" xfId="2" applyFont="1" applyAlignment="1">
      <alignment horizontal="center"/>
    </xf>
    <xf numFmtId="47" fontId="5" fillId="0" borderId="0" xfId="0" applyNumberFormat="1" applyFont="1" applyAlignment="1">
      <alignment horizontal="center"/>
    </xf>
    <xf numFmtId="47" fontId="6" fillId="0" borderId="0" xfId="0" applyNumberFormat="1" applyFont="1" applyAlignment="1">
      <alignment horizontal="center"/>
    </xf>
    <xf numFmtId="47" fontId="5" fillId="0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9" xfId="0" applyBorder="1"/>
    <xf numFmtId="0" fontId="0" fillId="0" borderId="0" xfId="0" applyAlignment="1">
      <alignment horizontal="center"/>
    </xf>
    <xf numFmtId="0" fontId="3" fillId="0" borderId="9" xfId="0" applyFont="1" applyFill="1" applyBorder="1" applyAlignment="1">
      <alignment horizontal="center"/>
    </xf>
    <xf numFmtId="165" fontId="0" fillId="0" borderId="0" xfId="0" applyNumberFormat="1"/>
    <xf numFmtId="43" fontId="2" fillId="0" borderId="9" xfId="1" applyFont="1" applyBorder="1"/>
    <xf numFmtId="165" fontId="0" fillId="0" borderId="0" xfId="0" applyNumberFormat="1" applyBorder="1"/>
    <xf numFmtId="0" fontId="0" fillId="0" borderId="0" xfId="0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9" fontId="2" fillId="0" borderId="9" xfId="2" applyFont="1" applyBorder="1" applyAlignment="1">
      <alignment horizontal="center"/>
    </xf>
    <xf numFmtId="167" fontId="2" fillId="0" borderId="0" xfId="2" applyNumberFormat="1" applyFont="1"/>
    <xf numFmtId="9" fontId="2" fillId="0" borderId="0" xfId="2" applyFont="1" applyBorder="1" applyAlignment="1">
      <alignment horizontal="center"/>
    </xf>
    <xf numFmtId="2" fontId="3" fillId="0" borderId="9" xfId="0" applyNumberFormat="1" applyFont="1" applyBorder="1"/>
    <xf numFmtId="169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1" xfId="0" applyNumberFormat="1" applyBorder="1"/>
    <xf numFmtId="165" fontId="0" fillId="0" borderId="2" xfId="0" applyNumberFormat="1" applyBorder="1"/>
    <xf numFmtId="165" fontId="0" fillId="0" borderId="4" xfId="0" applyNumberFormat="1" applyBorder="1"/>
    <xf numFmtId="165" fontId="0" fillId="0" borderId="7" xfId="0" applyNumberFormat="1" applyBorder="1"/>
    <xf numFmtId="165" fontId="0" fillId="0" borderId="5" xfId="0" applyNumberFormat="1" applyBorder="1"/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66" fontId="0" fillId="0" borderId="9" xfId="0" applyNumberFormat="1" applyFill="1" applyBorder="1"/>
    <xf numFmtId="0" fontId="0" fillId="0" borderId="0" xfId="0" applyAlignment="1">
      <alignment wrapText="1"/>
    </xf>
    <xf numFmtId="170" fontId="0" fillId="2" borderId="9" xfId="0" applyNumberFormat="1" applyFill="1" applyBorder="1"/>
    <xf numFmtId="0" fontId="3" fillId="0" borderId="10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2" fontId="0" fillId="0" borderId="9" xfId="0" applyNumberFormat="1" applyBorder="1"/>
    <xf numFmtId="168" fontId="0" fillId="0" borderId="3" xfId="0" applyNumberFormat="1" applyBorder="1"/>
    <xf numFmtId="167" fontId="0" fillId="0" borderId="9" xfId="0" applyNumberFormat="1" applyBorder="1"/>
    <xf numFmtId="0" fontId="3" fillId="0" borderId="9" xfId="0" applyFont="1" applyFill="1" applyBorder="1" applyAlignment="1">
      <alignment horizontal="center" vertical="center"/>
    </xf>
    <xf numFmtId="167" fontId="3" fillId="0" borderId="9" xfId="2" applyNumberFormat="1" applyFont="1" applyBorder="1" applyAlignment="1">
      <alignment horizontal="right"/>
    </xf>
    <xf numFmtId="167" fontId="0" fillId="0" borderId="9" xfId="0" applyNumberFormat="1" applyBorder="1" applyAlignment="1">
      <alignment horizontal="right"/>
    </xf>
    <xf numFmtId="167" fontId="3" fillId="0" borderId="10" xfId="2" applyNumberFormat="1" applyFont="1" applyBorder="1" applyAlignment="1">
      <alignment horizontal="right"/>
    </xf>
    <xf numFmtId="167" fontId="3" fillId="0" borderId="9" xfId="0" applyNumberFormat="1" applyFont="1" applyBorder="1"/>
    <xf numFmtId="167" fontId="3" fillId="0" borderId="9" xfId="0" applyNumberFormat="1" applyFont="1" applyFill="1" applyBorder="1"/>
    <xf numFmtId="0" fontId="3" fillId="0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right"/>
    </xf>
    <xf numFmtId="165" fontId="0" fillId="0" borderId="9" xfId="0" applyNumberFormat="1" applyBorder="1"/>
    <xf numFmtId="0" fontId="3" fillId="0" borderId="0" xfId="0" applyFont="1" applyBorder="1" applyAlignment="1">
      <alignment horizontal="center"/>
    </xf>
    <xf numFmtId="167" fontId="0" fillId="0" borderId="0" xfId="0" applyNumberFormat="1" applyBorder="1"/>
    <xf numFmtId="0" fontId="0" fillId="0" borderId="0" xfId="0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1" fontId="0" fillId="0" borderId="0" xfId="0" applyNumberFormat="1"/>
    <xf numFmtId="0" fontId="0" fillId="0" borderId="0" xfId="0" applyFill="1"/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0" fontId="11" fillId="0" borderId="0" xfId="0" applyFont="1"/>
    <xf numFmtId="0" fontId="11" fillId="0" borderId="9" xfId="0" applyFont="1" applyBorder="1"/>
    <xf numFmtId="0" fontId="11" fillId="0" borderId="9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0" borderId="14" xfId="0" applyNumberFormat="1" applyBorder="1"/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171" fontId="0" fillId="3" borderId="9" xfId="0" applyNumberFormat="1" applyFill="1" applyBorder="1"/>
    <xf numFmtId="171" fontId="0" fillId="3" borderId="9" xfId="0" applyNumberFormat="1" applyFill="1" applyBorder="1" applyAlignment="1"/>
    <xf numFmtId="0" fontId="0" fillId="3" borderId="9" xfId="0" applyFill="1" applyBorder="1"/>
    <xf numFmtId="172" fontId="0" fillId="0" borderId="9" xfId="0" applyNumberFormat="1" applyBorder="1"/>
    <xf numFmtId="0" fontId="3" fillId="4" borderId="9" xfId="0" applyFont="1" applyFill="1" applyBorder="1" applyAlignment="1">
      <alignment horizontal="center" vertical="center"/>
    </xf>
    <xf numFmtId="43" fontId="0" fillId="4" borderId="9" xfId="0" applyNumberFormat="1" applyFill="1" applyBorder="1"/>
    <xf numFmtId="0" fontId="3" fillId="4" borderId="9" xfId="0" applyFont="1" applyFill="1" applyBorder="1" applyAlignment="1">
      <alignment horizontal="center" vertical="center" wrapText="1"/>
    </xf>
    <xf numFmtId="10" fontId="9" fillId="4" borderId="9" xfId="2" applyNumberFormat="1" applyFont="1" applyFill="1" applyBorder="1"/>
    <xf numFmtId="167" fontId="2" fillId="0" borderId="7" xfId="2" applyNumberFormat="1" applyFont="1" applyBorder="1"/>
    <xf numFmtId="167" fontId="2" fillId="0" borderId="0" xfId="2" applyNumberFormat="1" applyFont="1" applyBorder="1"/>
    <xf numFmtId="167" fontId="2" fillId="0" borderId="5" xfId="2" applyNumberFormat="1" applyFont="1" applyBorder="1"/>
    <xf numFmtId="0" fontId="3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2" fillId="0" borderId="0" xfId="0" applyNumberFormat="1" applyFont="1"/>
    <xf numFmtId="1" fontId="2" fillId="0" borderId="0" xfId="0" applyNumberFormat="1" applyFont="1" applyAlignment="1">
      <alignment horizontal="center"/>
    </xf>
    <xf numFmtId="167" fontId="2" fillId="0" borderId="0" xfId="0" applyNumberFormat="1" applyFont="1"/>
    <xf numFmtId="9" fontId="3" fillId="0" borderId="9" xfId="2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2" fillId="0" borderId="9" xfId="0" applyFont="1" applyFill="1" applyBorder="1" applyAlignment="1">
      <alignment horizontal="center"/>
    </xf>
    <xf numFmtId="47" fontId="3" fillId="0" borderId="0" xfId="0" applyNumberFormat="1" applyFont="1"/>
    <xf numFmtId="0" fontId="3" fillId="0" borderId="0" xfId="0" applyFont="1"/>
    <xf numFmtId="167" fontId="3" fillId="0" borderId="10" xfId="0" applyNumberFormat="1" applyFont="1" applyBorder="1"/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4"/>
  <sheetViews>
    <sheetView tabSelected="1" topLeftCell="C2" zoomScale="93" zoomScaleNormal="93" zoomScaleSheetLayoutView="85" workbookViewId="0">
      <selection activeCell="Q6" sqref="Q6"/>
    </sheetView>
  </sheetViews>
  <sheetFormatPr defaultColWidth="9.140625" defaultRowHeight="15" x14ac:dyDescent="0.25"/>
  <cols>
    <col min="1" max="1" width="10.42578125" hidden="1" customWidth="1"/>
    <col min="2" max="2" width="9.140625" hidden="1" customWidth="1"/>
    <col min="3" max="3" width="8.85546875"/>
    <col min="4" max="4" width="16.28515625" customWidth="1"/>
    <col min="5" max="5" width="12.7109375" style="54" customWidth="1"/>
    <col min="6" max="7" width="14.28515625" style="54" customWidth="1"/>
    <col min="8" max="8" width="12.85546875" style="54" customWidth="1"/>
    <col min="9" max="9" width="13" customWidth="1"/>
    <col min="10" max="10" width="11.7109375" bestFit="1" customWidth="1"/>
    <col min="11" max="11" width="12.140625" customWidth="1"/>
    <col min="12" max="13" width="13.42578125" customWidth="1"/>
    <col min="14" max="14" width="11.42578125" customWidth="1"/>
    <col min="15" max="15" width="13" customWidth="1"/>
    <col min="16" max="16" width="10.28515625" customWidth="1"/>
    <col min="17" max="34" width="18" customWidth="1"/>
  </cols>
  <sheetData>
    <row r="1" spans="1:31" x14ac:dyDescent="0.25">
      <c r="D1" t="s">
        <v>0</v>
      </c>
      <c r="E1" s="61">
        <v>4400</v>
      </c>
      <c r="F1" s="62">
        <f>E1/2000</f>
        <v>2.2000000000000002</v>
      </c>
      <c r="G1" s="64"/>
      <c r="H1" s="179"/>
      <c r="I1" t="s">
        <v>1</v>
      </c>
      <c r="J1" s="179" t="str">
        <f>IF((C48+1)/2*C48=SUM(C5:C46),"","ERROR")</f>
        <v/>
      </c>
      <c r="K1" t="s">
        <v>2</v>
      </c>
    </row>
    <row r="3" spans="1:31" x14ac:dyDescent="0.25">
      <c r="E3" s="181"/>
      <c r="F3" s="181"/>
      <c r="G3" s="181"/>
      <c r="H3" s="181"/>
    </row>
    <row r="4" spans="1:31" ht="30" x14ac:dyDescent="0.25">
      <c r="A4" s="118" t="s">
        <v>3</v>
      </c>
      <c r="B4" s="119"/>
      <c r="C4" s="116" t="s">
        <v>4</v>
      </c>
      <c r="D4" s="105" t="s">
        <v>5</v>
      </c>
      <c r="E4" s="105" t="s">
        <v>6</v>
      </c>
      <c r="F4" s="105" t="s">
        <v>7</v>
      </c>
      <c r="G4" s="105" t="s">
        <v>8</v>
      </c>
      <c r="H4" s="105" t="s">
        <v>9</v>
      </c>
      <c r="I4" s="116" t="s">
        <v>10</v>
      </c>
      <c r="J4" s="116" t="s">
        <v>11</v>
      </c>
      <c r="K4" s="116" t="s">
        <v>12</v>
      </c>
      <c r="L4" s="87" t="s">
        <v>13</v>
      </c>
      <c r="M4" s="87" t="s">
        <v>14</v>
      </c>
      <c r="N4" s="87" t="s">
        <v>15</v>
      </c>
      <c r="O4" s="116" t="s">
        <v>16</v>
      </c>
      <c r="P4" s="155" t="s">
        <v>17</v>
      </c>
      <c r="Q4" s="153" t="s">
        <v>18</v>
      </c>
      <c r="T4" s="65">
        <f>AVERAGE(T5:T46)</f>
        <v>1.2748738689228301</v>
      </c>
      <c r="Z4" t="s">
        <v>19</v>
      </c>
      <c r="AA4" t="s">
        <v>20</v>
      </c>
    </row>
    <row r="5" spans="1:31" x14ac:dyDescent="0.25">
      <c r="A5" s="182" t="str">
        <f>IF(C5="","","1st to 4th")</f>
        <v>1st to 4th</v>
      </c>
      <c r="C5" s="26">
        <f t="shared" ref="C5:C46" si="0">IF(O5="","",RANK(O5,$O$5:$O$46,1))</f>
        <v>2</v>
      </c>
      <c r="D5" s="151" t="s">
        <v>90</v>
      </c>
      <c r="E5" s="148">
        <v>4</v>
      </c>
      <c r="F5" s="148" t="s">
        <v>36</v>
      </c>
      <c r="G5" s="148" t="s">
        <v>86</v>
      </c>
      <c r="H5" s="148" t="s">
        <v>23</v>
      </c>
      <c r="I5" s="149">
        <v>2.6747685185185183E-2</v>
      </c>
      <c r="J5" s="150">
        <v>3.7662037037037036E-2</v>
      </c>
      <c r="K5" s="149"/>
      <c r="L5" s="78">
        <f t="shared" ref="L5:L46" si="1">IF(I5="","",J5-I5)</f>
        <v>1.0914351851851852E-2</v>
      </c>
      <c r="M5" s="57">
        <f t="shared" ref="M5:M46" si="2">IF(L5="","",L5*24*60*60)</f>
        <v>942.99999999999989</v>
      </c>
      <c r="N5" s="84">
        <f t="shared" ref="N5:N46" si="3">IF(L5="","",IF(H5="M",VLOOKUP(F5,$Y$14:$AA$21,2)*VLOOKUP(G5,$AC$6:$AE$22,3),IF(H5="f",VLOOKUP(F5,$Y$14:$AA$21,3)*VLOOKUP(G5,$AC$6:$AE$22,3),"")))</f>
        <v>844.42093502670207</v>
      </c>
      <c r="O5" s="152">
        <f t="shared" ref="O5:O46" si="4">IF(M5="","",M5/N5)</f>
        <v>1.1167416165140205</v>
      </c>
      <c r="P5" s="156">
        <f t="shared" ref="P5:P46" si="5">IF(O5="","",O5-MIN($O$5:$O$46))</f>
        <v>3.0503380030233451E-3</v>
      </c>
      <c r="Q5" s="154">
        <f t="shared" ref="Q5:Q46" si="6">IF(O5="","",(O5/MIN($O$5:$O$46)-1)*N5)</f>
        <v>2.3128216215398036</v>
      </c>
      <c r="R5" s="7">
        <f t="shared" ref="R5:R46" si="7">C5</f>
        <v>2</v>
      </c>
      <c r="S5" s="157">
        <f t="shared" ref="S5:S46" si="8">IF(O5="","",R5/($C$48+1))</f>
        <v>0.22222222222222221</v>
      </c>
      <c r="T5" s="21">
        <f t="shared" ref="T5:T46" si="9">IF(S5&lt;=0.1,"",IF(S5&gt;0.9,"",O5))</f>
        <v>1.1167416165140205</v>
      </c>
      <c r="V5" t="s">
        <v>21</v>
      </c>
      <c r="W5" s="4" t="s">
        <v>22</v>
      </c>
      <c r="X5" t="s">
        <v>23</v>
      </c>
      <c r="Y5" s="75" t="s">
        <v>22</v>
      </c>
      <c r="Z5" s="73">
        <f>'Base Data'!L3</f>
        <v>399.5308555704998</v>
      </c>
      <c r="AA5" s="73">
        <f>'Base Data'!M3</f>
        <v>444.46914442950026</v>
      </c>
      <c r="AC5" s="61" t="s">
        <v>8</v>
      </c>
      <c r="AD5" s="185" t="s">
        <v>24</v>
      </c>
      <c r="AE5" s="186"/>
    </row>
    <row r="6" spans="1:31" x14ac:dyDescent="0.25">
      <c r="A6" s="183"/>
      <c r="C6" s="26">
        <f t="shared" si="0"/>
        <v>1</v>
      </c>
      <c r="D6" s="151" t="s">
        <v>31</v>
      </c>
      <c r="E6" s="148">
        <v>6</v>
      </c>
      <c r="F6" s="148" t="s">
        <v>36</v>
      </c>
      <c r="G6" s="148">
        <v>10</v>
      </c>
      <c r="H6" s="148" t="s">
        <v>23</v>
      </c>
      <c r="I6" s="149">
        <v>2.2025462962962958E-2</v>
      </c>
      <c r="J6" s="150">
        <v>3.3611111111111112E-2</v>
      </c>
      <c r="K6" s="149"/>
      <c r="L6" s="78">
        <f t="shared" si="1"/>
        <v>1.1585648148148154E-2</v>
      </c>
      <c r="M6" s="57">
        <f t="shared" si="2"/>
        <v>1001.0000000000007</v>
      </c>
      <c r="N6" s="84">
        <f t="shared" si="3"/>
        <v>898.81282121409401</v>
      </c>
      <c r="O6" s="152">
        <f t="shared" si="4"/>
        <v>1.1136912785109971</v>
      </c>
      <c r="P6" s="156">
        <f t="shared" si="5"/>
        <v>0</v>
      </c>
      <c r="Q6" s="154">
        <f t="shared" si="6"/>
        <v>0</v>
      </c>
      <c r="R6" s="8">
        <f t="shared" si="7"/>
        <v>1</v>
      </c>
      <c r="S6" s="158">
        <f t="shared" si="8"/>
        <v>0.1111111111111111</v>
      </c>
      <c r="T6" s="23">
        <f t="shared" si="9"/>
        <v>1.1136912785109971</v>
      </c>
      <c r="V6" t="s">
        <v>25</v>
      </c>
      <c r="W6" s="4" t="s">
        <v>26</v>
      </c>
      <c r="X6" t="s">
        <v>27</v>
      </c>
      <c r="Y6" s="76" t="s">
        <v>26</v>
      </c>
      <c r="Z6" s="58">
        <f>'Base Data'!L4</f>
        <v>387.507059680108</v>
      </c>
      <c r="AA6" s="58">
        <f>'Base Data'!M4</f>
        <v>431.09294031989208</v>
      </c>
      <c r="AC6" s="26">
        <f>'Base Data'!K41</f>
        <v>7</v>
      </c>
      <c r="AD6" s="86">
        <f>'Base Data'!N41</f>
        <v>0.82671587139995406</v>
      </c>
      <c r="AE6" s="86">
        <f>'Base Data'!O41</f>
        <v>1.2096054213966014</v>
      </c>
    </row>
    <row r="7" spans="1:31" x14ac:dyDescent="0.25">
      <c r="A7" s="183"/>
      <c r="C7" s="26">
        <f t="shared" si="0"/>
        <v>3</v>
      </c>
      <c r="D7" s="151" t="s">
        <v>25</v>
      </c>
      <c r="E7" s="148">
        <v>3</v>
      </c>
      <c r="F7" s="148" t="s">
        <v>22</v>
      </c>
      <c r="G7" s="148" t="s">
        <v>81</v>
      </c>
      <c r="H7" s="148" t="s">
        <v>27</v>
      </c>
      <c r="I7" s="149">
        <v>1.0601851851851854E-2</v>
      </c>
      <c r="J7" s="150">
        <v>2.6342592592592588E-2</v>
      </c>
      <c r="K7" s="149" t="s">
        <v>89</v>
      </c>
      <c r="L7" s="78">
        <f t="shared" si="1"/>
        <v>1.5740740740740736E-2</v>
      </c>
      <c r="M7" s="57">
        <f t="shared" si="2"/>
        <v>1359.9999999999995</v>
      </c>
      <c r="N7" s="84">
        <f t="shared" si="3"/>
        <v>1127.9303927473534</v>
      </c>
      <c r="O7" s="152">
        <f t="shared" si="4"/>
        <v>1.2057481638449188</v>
      </c>
      <c r="P7" s="156">
        <f t="shared" si="5"/>
        <v>9.2056885333921645E-2</v>
      </c>
      <c r="Q7" s="154">
        <f t="shared" si="6"/>
        <v>93.233879831234574</v>
      </c>
      <c r="R7" s="8">
        <f t="shared" si="7"/>
        <v>3</v>
      </c>
      <c r="S7" s="158">
        <f t="shared" si="8"/>
        <v>0.33333333333333331</v>
      </c>
      <c r="T7" s="23">
        <f t="shared" si="9"/>
        <v>1.2057481638449188</v>
      </c>
      <c r="V7" t="s">
        <v>28</v>
      </c>
      <c r="W7" s="4" t="s">
        <v>29</v>
      </c>
      <c r="Y7" s="76" t="s">
        <v>29</v>
      </c>
      <c r="Z7" s="58">
        <f>'Base Data'!L5</f>
        <v>372.26429481118606</v>
      </c>
      <c r="AA7" s="58">
        <f>'Base Data'!M5</f>
        <v>414.13570518881397</v>
      </c>
      <c r="AC7" s="26">
        <f>'Base Data'!K42</f>
        <v>8</v>
      </c>
      <c r="AD7" s="86">
        <f>'Base Data'!N42</f>
        <v>0.87648270992742439</v>
      </c>
      <c r="AE7" s="86">
        <f>'Base Data'!O42</f>
        <v>1.1409238182037877</v>
      </c>
    </row>
    <row r="8" spans="1:31" x14ac:dyDescent="0.25">
      <c r="A8" s="184"/>
      <c r="C8" s="26">
        <f t="shared" si="0"/>
        <v>4</v>
      </c>
      <c r="D8" s="151" t="s">
        <v>88</v>
      </c>
      <c r="E8" s="148">
        <v>1</v>
      </c>
      <c r="F8" s="148" t="s">
        <v>29</v>
      </c>
      <c r="G8" s="148" t="s">
        <v>82</v>
      </c>
      <c r="H8" s="148" t="s">
        <v>23</v>
      </c>
      <c r="I8" s="149">
        <v>0</v>
      </c>
      <c r="J8" s="150">
        <v>1.3888888888888888E-2</v>
      </c>
      <c r="K8" s="149"/>
      <c r="L8" s="78">
        <f t="shared" si="1"/>
        <v>1.3888888888888888E-2</v>
      </c>
      <c r="M8" s="57">
        <f t="shared" si="2"/>
        <v>1200</v>
      </c>
      <c r="N8" s="84">
        <f t="shared" si="3"/>
        <v>962.10972683223213</v>
      </c>
      <c r="O8" s="152">
        <f t="shared" si="4"/>
        <v>1.2472589835995391</v>
      </c>
      <c r="P8" s="156">
        <f t="shared" si="5"/>
        <v>0.13356770508854199</v>
      </c>
      <c r="Q8" s="154">
        <f t="shared" si="6"/>
        <v>115.38816073711081</v>
      </c>
      <c r="R8" s="8">
        <f t="shared" si="7"/>
        <v>4</v>
      </c>
      <c r="S8" s="158">
        <f t="shared" si="8"/>
        <v>0.44444444444444442</v>
      </c>
      <c r="T8" s="23">
        <f t="shared" si="9"/>
        <v>1.2472589835995391</v>
      </c>
      <c r="V8" t="s">
        <v>31</v>
      </c>
      <c r="W8" s="4" t="s">
        <v>32</v>
      </c>
      <c r="Y8" s="76" t="s">
        <v>33</v>
      </c>
      <c r="Z8" s="58">
        <f>'Base Data'!L8</f>
        <v>354.65464098746264</v>
      </c>
      <c r="AA8" s="58">
        <f>'Base Data'!M8</f>
        <v>394.54535901253746</v>
      </c>
      <c r="AC8" s="26">
        <f>'Base Data'!K43</f>
        <v>9</v>
      </c>
      <c r="AD8" s="86">
        <f>'Base Data'!N43</f>
        <v>0.91814718728448996</v>
      </c>
      <c r="AE8" s="86">
        <f>'Base Data'!O43</f>
        <v>1.0891499901639929</v>
      </c>
    </row>
    <row r="9" spans="1:31" x14ac:dyDescent="0.25">
      <c r="A9" s="182" t="str">
        <f>IF(C9="","","5th to 8th")</f>
        <v>5th to 8th</v>
      </c>
      <c r="C9" s="26">
        <f t="shared" si="0"/>
        <v>5</v>
      </c>
      <c r="D9" s="151" t="s">
        <v>25</v>
      </c>
      <c r="E9" s="148">
        <v>2</v>
      </c>
      <c r="F9" s="148" t="s">
        <v>29</v>
      </c>
      <c r="G9" s="148" t="s">
        <v>80</v>
      </c>
      <c r="H9" s="148" t="s">
        <v>27</v>
      </c>
      <c r="I9" s="149">
        <v>2.0254629629629629E-3</v>
      </c>
      <c r="J9" s="150">
        <v>1.6921296296296299E-2</v>
      </c>
      <c r="K9" s="149"/>
      <c r="L9" s="78">
        <f t="shared" si="1"/>
        <v>1.4895833333333336E-2</v>
      </c>
      <c r="M9" s="57">
        <f t="shared" si="2"/>
        <v>1287.0000000000002</v>
      </c>
      <c r="N9" s="84">
        <f t="shared" si="3"/>
        <v>1031.211887852204</v>
      </c>
      <c r="O9" s="152">
        <f t="shared" si="4"/>
        <v>1.2480461243329426</v>
      </c>
      <c r="P9" s="156">
        <f t="shared" si="5"/>
        <v>0.13435484582194546</v>
      </c>
      <c r="Q9" s="154">
        <f t="shared" si="6"/>
        <v>124.40459656591625</v>
      </c>
      <c r="R9" s="8">
        <f t="shared" si="7"/>
        <v>5</v>
      </c>
      <c r="S9" s="158">
        <f t="shared" si="8"/>
        <v>0.55555555555555558</v>
      </c>
      <c r="T9" s="23">
        <f t="shared" si="9"/>
        <v>1.2480461243329426</v>
      </c>
      <c r="V9" t="s">
        <v>34</v>
      </c>
      <c r="W9" s="4" t="s">
        <v>35</v>
      </c>
      <c r="Y9" s="76" t="s">
        <v>32</v>
      </c>
      <c r="Z9" s="58">
        <f>'Base Data'!L6</f>
        <v>367.71986801796709</v>
      </c>
      <c r="AA9" s="58">
        <f>'Base Data'!M6</f>
        <v>409.08013198203292</v>
      </c>
      <c r="AC9" s="26">
        <f>'Base Data'!K44</f>
        <v>10</v>
      </c>
      <c r="AD9" s="86">
        <f>'Base Data'!N44</f>
        <v>0.93948474598535348</v>
      </c>
      <c r="AE9" s="86">
        <f>'Base Data'!O44</f>
        <v>1.0644132374402488</v>
      </c>
    </row>
    <row r="10" spans="1:31" x14ac:dyDescent="0.25">
      <c r="A10" s="183"/>
      <c r="C10" s="26">
        <f t="shared" si="0"/>
        <v>6</v>
      </c>
      <c r="D10" s="151" t="s">
        <v>25</v>
      </c>
      <c r="E10" s="148">
        <v>7</v>
      </c>
      <c r="F10" s="148" t="s">
        <v>32</v>
      </c>
      <c r="G10" s="148" t="s">
        <v>80</v>
      </c>
      <c r="H10" s="148" t="s">
        <v>27</v>
      </c>
      <c r="I10" s="149">
        <v>3.0300925925925926E-2</v>
      </c>
      <c r="J10" s="150">
        <v>4.5624999999999999E-2</v>
      </c>
      <c r="K10" s="149"/>
      <c r="L10" s="78">
        <f t="shared" si="1"/>
        <v>1.5324074074074073E-2</v>
      </c>
      <c r="M10" s="57">
        <f t="shared" si="2"/>
        <v>1324</v>
      </c>
      <c r="N10" s="84">
        <f t="shared" si="3"/>
        <v>1018.6233398824924</v>
      </c>
      <c r="O10" s="152">
        <f t="shared" si="4"/>
        <v>1.2997935038016464</v>
      </c>
      <c r="P10" s="156">
        <f t="shared" si="5"/>
        <v>0.18610222529064924</v>
      </c>
      <c r="Q10" s="154">
        <f t="shared" si="6"/>
        <v>170.21599606901586</v>
      </c>
      <c r="R10" s="8">
        <f t="shared" si="7"/>
        <v>6</v>
      </c>
      <c r="S10" s="158">
        <f t="shared" si="8"/>
        <v>0.66666666666666663</v>
      </c>
      <c r="T10" s="23">
        <f t="shared" si="9"/>
        <v>1.2997935038016464</v>
      </c>
      <c r="W10" s="4" t="s">
        <v>33</v>
      </c>
      <c r="Y10" s="76" t="s">
        <v>36</v>
      </c>
      <c r="Z10" s="58">
        <f>'Base Data'!L9</f>
        <v>347.45929856486595</v>
      </c>
      <c r="AA10" s="58">
        <f>'Base Data'!M9</f>
        <v>386.54070143513411</v>
      </c>
      <c r="AC10" s="26">
        <f>'Base Data'!K45</f>
        <v>11</v>
      </c>
      <c r="AD10" s="86">
        <f>'Base Data'!N45</f>
        <v>0.95555893074119069</v>
      </c>
      <c r="AE10" s="86">
        <f>'Base Data'!O45</f>
        <v>1.0465079314619958</v>
      </c>
    </row>
    <row r="11" spans="1:31" x14ac:dyDescent="0.25">
      <c r="A11" s="183"/>
      <c r="C11" s="26">
        <f t="shared" si="0"/>
        <v>7</v>
      </c>
      <c r="D11" s="151" t="s">
        <v>88</v>
      </c>
      <c r="E11" s="148">
        <v>5</v>
      </c>
      <c r="F11" s="148" t="s">
        <v>35</v>
      </c>
      <c r="G11" s="148" t="s">
        <v>83</v>
      </c>
      <c r="H11" s="148" t="s">
        <v>23</v>
      </c>
      <c r="I11" s="149">
        <v>8.7152777777777784E-3</v>
      </c>
      <c r="J11" s="150">
        <v>2.4560185185185185E-2</v>
      </c>
      <c r="K11" s="149"/>
      <c r="L11" s="78">
        <f t="shared" si="1"/>
        <v>1.5844907407407405E-2</v>
      </c>
      <c r="M11" s="57">
        <f t="shared" si="2"/>
        <v>1368.9999999999998</v>
      </c>
      <c r="N11" s="84">
        <f t="shared" si="3"/>
        <v>978.53184668224856</v>
      </c>
      <c r="O11" s="152">
        <f t="shared" si="4"/>
        <v>1.3990346912485774</v>
      </c>
      <c r="P11" s="156">
        <f t="shared" si="5"/>
        <v>0.28534341273758024</v>
      </c>
      <c r="Q11" s="154">
        <f t="shared" si="6"/>
        <v>250.71366005310983</v>
      </c>
      <c r="R11" s="8">
        <f t="shared" si="7"/>
        <v>7</v>
      </c>
      <c r="S11" s="158">
        <f t="shared" si="8"/>
        <v>0.77777777777777779</v>
      </c>
      <c r="T11" s="23">
        <f t="shared" si="9"/>
        <v>1.3990346912485774</v>
      </c>
      <c r="W11" s="4" t="s">
        <v>36</v>
      </c>
      <c r="Y11" s="76" t="s">
        <v>35</v>
      </c>
      <c r="Z11" s="58">
        <f>'Base Data'!L7</f>
        <v>362.51271231740367</v>
      </c>
      <c r="AA11" s="58">
        <f>'Base Data'!M7</f>
        <v>403.28728768259629</v>
      </c>
      <c r="AC11" s="26">
        <f>'Base Data'!K46</f>
        <v>12</v>
      </c>
      <c r="AD11" s="86">
        <f>'Base Data'!N46</f>
        <v>0.96528521230829867</v>
      </c>
      <c r="AE11" s="86">
        <f>'Base Data'!O46</f>
        <v>1.0359632440744506</v>
      </c>
    </row>
    <row r="12" spans="1:31" x14ac:dyDescent="0.25">
      <c r="A12" s="184"/>
      <c r="C12" s="26">
        <f t="shared" si="0"/>
        <v>8</v>
      </c>
      <c r="D12" s="151" t="s">
        <v>25</v>
      </c>
      <c r="E12" s="148">
        <v>8</v>
      </c>
      <c r="F12" s="148" t="s">
        <v>35</v>
      </c>
      <c r="G12" s="148" t="s">
        <v>83</v>
      </c>
      <c r="H12" s="148" t="s">
        <v>23</v>
      </c>
      <c r="I12" s="149">
        <v>1.0960648148148148E-2</v>
      </c>
      <c r="J12" s="150">
        <v>2.8726851851851851E-2</v>
      </c>
      <c r="K12" s="149"/>
      <c r="L12" s="78">
        <f t="shared" si="1"/>
        <v>1.7766203703703701E-2</v>
      </c>
      <c r="M12" s="57">
        <f t="shared" si="2"/>
        <v>1534.9999999999998</v>
      </c>
      <c r="N12" s="84">
        <f t="shared" si="3"/>
        <v>978.53184668224856</v>
      </c>
      <c r="O12" s="152">
        <f t="shared" si="4"/>
        <v>1.5686765895299972</v>
      </c>
      <c r="P12" s="156">
        <f t="shared" si="5"/>
        <v>0.45498531101900008</v>
      </c>
      <c r="Q12" s="154">
        <f t="shared" si="6"/>
        <v>399.7675345002022</v>
      </c>
      <c r="R12" s="8">
        <f t="shared" si="7"/>
        <v>8</v>
      </c>
      <c r="S12" s="158">
        <f t="shared" si="8"/>
        <v>0.88888888888888884</v>
      </c>
      <c r="T12" s="23">
        <f t="shared" si="9"/>
        <v>1.5686765895299972</v>
      </c>
      <c r="W12" s="4" t="s">
        <v>37</v>
      </c>
      <c r="Y12" s="77" t="s">
        <v>37</v>
      </c>
      <c r="Z12" s="74">
        <f>'Base Data'!L10</f>
        <v>329.47094250837421</v>
      </c>
      <c r="AA12" s="74">
        <f>'Base Data'!M10</f>
        <v>366.52905749162579</v>
      </c>
      <c r="AC12" s="26">
        <f>'Base Data'!K47</f>
        <v>13</v>
      </c>
      <c r="AD12" s="86">
        <f>'Base Data'!N47</f>
        <v>0.97386456930806875</v>
      </c>
      <c r="AE12" s="86">
        <f>'Base Data'!O47</f>
        <v>1.0268368226092264</v>
      </c>
    </row>
    <row r="13" spans="1:31" x14ac:dyDescent="0.25">
      <c r="A13" s="182" t="str">
        <f>IF(C13="","","9th to 12th")</f>
        <v/>
      </c>
      <c r="C13" s="26" t="str">
        <f t="shared" si="0"/>
        <v/>
      </c>
      <c r="D13" s="151"/>
      <c r="E13" s="148"/>
      <c r="F13" s="148" t="s">
        <v>30</v>
      </c>
      <c r="G13" s="148"/>
      <c r="H13" s="148"/>
      <c r="I13" s="149"/>
      <c r="J13" s="150"/>
      <c r="K13" s="149"/>
      <c r="L13" s="78" t="str">
        <f t="shared" si="1"/>
        <v/>
      </c>
      <c r="M13" s="57" t="str">
        <f t="shared" si="2"/>
        <v/>
      </c>
      <c r="N13" s="84" t="str">
        <f t="shared" si="3"/>
        <v/>
      </c>
      <c r="O13" s="152" t="str">
        <f t="shared" si="4"/>
        <v/>
      </c>
      <c r="P13" s="156" t="str">
        <f t="shared" si="5"/>
        <v/>
      </c>
      <c r="Q13" s="154" t="str">
        <f t="shared" si="6"/>
        <v/>
      </c>
      <c r="R13" s="8" t="str">
        <f t="shared" si="7"/>
        <v/>
      </c>
      <c r="S13" s="158" t="str">
        <f t="shared" si="8"/>
        <v/>
      </c>
      <c r="T13" s="85" t="str">
        <f t="shared" si="9"/>
        <v/>
      </c>
      <c r="Z13" s="56"/>
      <c r="AA13" s="56"/>
      <c r="AC13" s="26" t="str">
        <f>'Base Data'!K48</f>
        <v>A</v>
      </c>
      <c r="AD13" s="86">
        <f>'Base Data'!N48</f>
        <v>1</v>
      </c>
      <c r="AE13" s="86">
        <f>'Base Data'!O48</f>
        <v>1</v>
      </c>
    </row>
    <row r="14" spans="1:31" x14ac:dyDescent="0.25">
      <c r="A14" s="183"/>
      <c r="C14" s="26" t="str">
        <f t="shared" si="0"/>
        <v/>
      </c>
      <c r="D14" s="151"/>
      <c r="E14" s="148"/>
      <c r="F14" s="148" t="s">
        <v>30</v>
      </c>
      <c r="G14" s="148"/>
      <c r="H14" s="148"/>
      <c r="I14" s="149"/>
      <c r="J14" s="150"/>
      <c r="K14" s="149"/>
      <c r="L14" s="78" t="str">
        <f t="shared" si="1"/>
        <v/>
      </c>
      <c r="M14" s="57" t="str">
        <f t="shared" si="2"/>
        <v/>
      </c>
      <c r="N14" s="84" t="str">
        <f t="shared" si="3"/>
        <v/>
      </c>
      <c r="O14" s="152" t="str">
        <f t="shared" si="4"/>
        <v/>
      </c>
      <c r="P14" s="156" t="str">
        <f t="shared" si="5"/>
        <v/>
      </c>
      <c r="Q14" s="154" t="str">
        <f t="shared" si="6"/>
        <v/>
      </c>
      <c r="R14" s="8" t="str">
        <f t="shared" si="7"/>
        <v/>
      </c>
      <c r="S14" s="158" t="str">
        <f t="shared" si="8"/>
        <v/>
      </c>
      <c r="T14" s="23" t="str">
        <f t="shared" si="9"/>
        <v/>
      </c>
      <c r="Y14" s="67" t="str">
        <f t="shared" ref="Y14:Y21" si="10">Y5</f>
        <v>1x</v>
      </c>
      <c r="Z14" s="70">
        <f>'Base Data'!L17</f>
        <v>970.96903155658924</v>
      </c>
      <c r="AA14" s="70">
        <f>'Base Data'!M17</f>
        <v>1080.1813394543819</v>
      </c>
      <c r="AC14" s="26" t="str">
        <f>'Base Data'!K49</f>
        <v>B</v>
      </c>
      <c r="AD14" s="86">
        <f>'Base Data'!N49</f>
        <v>0.98933333333333329</v>
      </c>
      <c r="AE14" s="86">
        <f>'Base Data'!O49</f>
        <v>1.0107816711590296</v>
      </c>
    </row>
    <row r="15" spans="1:31" x14ac:dyDescent="0.25">
      <c r="A15" s="183"/>
      <c r="C15" s="26" t="str">
        <f t="shared" si="0"/>
        <v/>
      </c>
      <c r="D15" s="151"/>
      <c r="E15" s="148"/>
      <c r="F15" s="148" t="s">
        <v>30</v>
      </c>
      <c r="G15" s="148"/>
      <c r="H15" s="148"/>
      <c r="I15" s="149"/>
      <c r="J15" s="150"/>
      <c r="K15" s="149"/>
      <c r="L15" s="78" t="str">
        <f t="shared" si="1"/>
        <v/>
      </c>
      <c r="M15" s="57" t="str">
        <f t="shared" si="2"/>
        <v/>
      </c>
      <c r="N15" s="84" t="str">
        <f t="shared" si="3"/>
        <v/>
      </c>
      <c r="O15" s="152" t="str">
        <f t="shared" si="4"/>
        <v/>
      </c>
      <c r="P15" s="156" t="str">
        <f t="shared" si="5"/>
        <v/>
      </c>
      <c r="Q15" s="154" t="str">
        <f t="shared" si="6"/>
        <v/>
      </c>
      <c r="R15" s="8" t="str">
        <f t="shared" si="7"/>
        <v/>
      </c>
      <c r="S15" s="158" t="str">
        <f t="shared" si="8"/>
        <v/>
      </c>
      <c r="T15" s="23" t="str">
        <f t="shared" si="9"/>
        <v/>
      </c>
      <c r="Y15" s="68" t="str">
        <f t="shared" si="10"/>
        <v>2-</v>
      </c>
      <c r="Z15" s="71">
        <f>'Base Data'!L18</f>
        <v>941.74792563059714</v>
      </c>
      <c r="AA15" s="71">
        <f>'Base Data'!M18</f>
        <v>1047.6735124139302</v>
      </c>
      <c r="AC15" s="26" t="str">
        <f>'Base Data'!K50</f>
        <v>C</v>
      </c>
      <c r="AD15" s="86">
        <f>'Base Data'!N50</f>
        <v>0.97599999999999998</v>
      </c>
      <c r="AE15" s="86">
        <f>'Base Data'!O50</f>
        <v>1.0245901639344261</v>
      </c>
    </row>
    <row r="16" spans="1:31" x14ac:dyDescent="0.25">
      <c r="A16" s="184"/>
      <c r="C16" s="26" t="str">
        <f t="shared" si="0"/>
        <v/>
      </c>
      <c r="D16" s="151"/>
      <c r="E16" s="148"/>
      <c r="F16" s="148" t="s">
        <v>30</v>
      </c>
      <c r="G16" s="148"/>
      <c r="H16" s="148"/>
      <c r="I16" s="149"/>
      <c r="J16" s="150"/>
      <c r="K16" s="149"/>
      <c r="L16" s="78" t="str">
        <f t="shared" si="1"/>
        <v/>
      </c>
      <c r="M16" s="57" t="str">
        <f t="shared" si="2"/>
        <v/>
      </c>
      <c r="N16" s="84" t="str">
        <f t="shared" si="3"/>
        <v/>
      </c>
      <c r="O16" s="152" t="str">
        <f t="shared" si="4"/>
        <v/>
      </c>
      <c r="P16" s="156" t="str">
        <f t="shared" si="5"/>
        <v/>
      </c>
      <c r="Q16" s="154" t="str">
        <f t="shared" si="6"/>
        <v/>
      </c>
      <c r="R16" s="8" t="str">
        <f t="shared" si="7"/>
        <v/>
      </c>
      <c r="S16" s="158" t="str">
        <f t="shared" si="8"/>
        <v/>
      </c>
      <c r="T16" s="23" t="str">
        <f t="shared" si="9"/>
        <v/>
      </c>
      <c r="Y16" s="68" t="str">
        <f t="shared" si="10"/>
        <v>2x</v>
      </c>
      <c r="Z16" s="71">
        <f>'Base Data'!L19</f>
        <v>904.70384646457558</v>
      </c>
      <c r="AA16" s="71">
        <f>'Base Data'!M19</f>
        <v>1006.4628025437511</v>
      </c>
      <c r="AC16" s="26" t="str">
        <f>'Base Data'!K51</f>
        <v>D</v>
      </c>
      <c r="AD16" s="86">
        <f>'Base Data'!N51</f>
        <v>0.95766666666666667</v>
      </c>
      <c r="AE16" s="86">
        <f>'Base Data'!O51</f>
        <v>1.0442046641141665</v>
      </c>
    </row>
    <row r="17" spans="1:31" x14ac:dyDescent="0.25">
      <c r="A17" s="182" t="str">
        <f>IF(C17="","","13th to 16th")</f>
        <v/>
      </c>
      <c r="C17" s="26" t="str">
        <f t="shared" si="0"/>
        <v/>
      </c>
      <c r="D17" s="151"/>
      <c r="E17" s="148"/>
      <c r="F17" s="148" t="s">
        <v>30</v>
      </c>
      <c r="G17" s="148"/>
      <c r="H17" s="148"/>
      <c r="I17" s="149"/>
      <c r="J17" s="150"/>
      <c r="K17" s="149"/>
      <c r="L17" s="78" t="str">
        <f t="shared" si="1"/>
        <v/>
      </c>
      <c r="M17" s="57" t="str">
        <f t="shared" si="2"/>
        <v/>
      </c>
      <c r="N17" s="84" t="str">
        <f t="shared" si="3"/>
        <v/>
      </c>
      <c r="O17" s="152" t="str">
        <f t="shared" si="4"/>
        <v/>
      </c>
      <c r="P17" s="156" t="str">
        <f t="shared" si="5"/>
        <v/>
      </c>
      <c r="Q17" s="154" t="str">
        <f t="shared" si="6"/>
        <v/>
      </c>
      <c r="R17" s="8" t="str">
        <f t="shared" si="7"/>
        <v/>
      </c>
      <c r="S17" s="158" t="str">
        <f t="shared" si="8"/>
        <v/>
      </c>
      <c r="T17" s="23" t="str">
        <f t="shared" si="9"/>
        <v/>
      </c>
      <c r="Y17" s="68" t="str">
        <f t="shared" si="10"/>
        <v>4-</v>
      </c>
      <c r="Z17" s="71">
        <f>'Base Data'!L22</f>
        <v>861.90758109265016</v>
      </c>
      <c r="AA17" s="71">
        <f>'Base Data'!M22</f>
        <v>958.85291412230208</v>
      </c>
      <c r="AC17" s="26" t="str">
        <f>'Base Data'!K52</f>
        <v>E</v>
      </c>
      <c r="AD17" s="86">
        <f>'Base Data'!N52</f>
        <v>0.94033333333333335</v>
      </c>
      <c r="AE17" s="86">
        <f>'Base Data'!O52</f>
        <v>1.0634526763559022</v>
      </c>
    </row>
    <row r="18" spans="1:31" x14ac:dyDescent="0.25">
      <c r="A18" s="183"/>
      <c r="C18" s="26" t="str">
        <f t="shared" si="0"/>
        <v/>
      </c>
      <c r="D18" s="151"/>
      <c r="E18" s="148"/>
      <c r="F18" s="148" t="s">
        <v>30</v>
      </c>
      <c r="G18" s="148"/>
      <c r="H18" s="148"/>
      <c r="I18" s="149"/>
      <c r="J18" s="150"/>
      <c r="K18" s="149"/>
      <c r="L18" s="78" t="str">
        <f t="shared" si="1"/>
        <v/>
      </c>
      <c r="M18" s="57" t="str">
        <f t="shared" si="2"/>
        <v/>
      </c>
      <c r="N18" s="84" t="str">
        <f t="shared" si="3"/>
        <v/>
      </c>
      <c r="O18" s="152" t="str">
        <f t="shared" si="4"/>
        <v/>
      </c>
      <c r="P18" s="156" t="str">
        <f t="shared" si="5"/>
        <v/>
      </c>
      <c r="Q18" s="154" t="str">
        <f t="shared" si="6"/>
        <v/>
      </c>
      <c r="R18" s="8" t="str">
        <f t="shared" si="7"/>
        <v/>
      </c>
      <c r="S18" s="158" t="str">
        <f t="shared" si="8"/>
        <v/>
      </c>
      <c r="T18" s="23" t="str">
        <f t="shared" si="9"/>
        <v/>
      </c>
      <c r="Y18" s="68" t="str">
        <f t="shared" si="10"/>
        <v>4+</v>
      </c>
      <c r="Z18" s="71">
        <f>'Base Data'!L20</f>
        <v>893.65964894923991</v>
      </c>
      <c r="AA18" s="71">
        <f>'Base Data'!M20</f>
        <v>994.17637972531259</v>
      </c>
      <c r="AC18" s="26" t="str">
        <f>'Base Data'!K53</f>
        <v>F</v>
      </c>
      <c r="AD18" s="86">
        <f>'Base Data'!N53</f>
        <v>0.92100000000000004</v>
      </c>
      <c r="AE18" s="86">
        <f>'Base Data'!O53</f>
        <v>1.0857763300760044</v>
      </c>
    </row>
    <row r="19" spans="1:31" x14ac:dyDescent="0.25">
      <c r="A19" s="183"/>
      <c r="C19" s="26" t="str">
        <f t="shared" si="0"/>
        <v/>
      </c>
      <c r="D19" s="151"/>
      <c r="E19" s="148"/>
      <c r="F19" s="148" t="s">
        <v>30</v>
      </c>
      <c r="G19" s="148"/>
      <c r="H19" s="148"/>
      <c r="I19" s="149"/>
      <c r="J19" s="150"/>
      <c r="K19" s="149"/>
      <c r="L19" s="78" t="str">
        <f t="shared" si="1"/>
        <v/>
      </c>
      <c r="M19" s="57" t="str">
        <f t="shared" si="2"/>
        <v/>
      </c>
      <c r="N19" s="84" t="str">
        <f t="shared" si="3"/>
        <v/>
      </c>
      <c r="O19" s="152" t="str">
        <f t="shared" si="4"/>
        <v/>
      </c>
      <c r="P19" s="156" t="str">
        <f t="shared" si="5"/>
        <v/>
      </c>
      <c r="Q19" s="154" t="str">
        <f t="shared" si="6"/>
        <v/>
      </c>
      <c r="R19" s="8" t="str">
        <f t="shared" si="7"/>
        <v/>
      </c>
      <c r="S19" s="158" t="str">
        <f t="shared" si="8"/>
        <v/>
      </c>
      <c r="T19" s="23" t="str">
        <f t="shared" si="9"/>
        <v/>
      </c>
      <c r="Y19" s="68" t="str">
        <f t="shared" si="10"/>
        <v>4x</v>
      </c>
      <c r="Z19" s="71">
        <f>'Base Data'!L23</f>
        <v>844.42093502670207</v>
      </c>
      <c r="AA19" s="71">
        <f>'Base Data'!M23</f>
        <v>939.39941132644117</v>
      </c>
      <c r="AC19" s="26" t="str">
        <f>'Base Data'!K54</f>
        <v>G</v>
      </c>
      <c r="AD19" s="86">
        <f>'Base Data'!N54</f>
        <v>0.90033333333333332</v>
      </c>
      <c r="AE19" s="86">
        <f>'Base Data'!O54</f>
        <v>1.1106997408367272</v>
      </c>
    </row>
    <row r="20" spans="1:31" x14ac:dyDescent="0.25">
      <c r="A20" s="184"/>
      <c r="C20" s="26" t="str">
        <f t="shared" si="0"/>
        <v/>
      </c>
      <c r="D20" s="151"/>
      <c r="E20" s="148"/>
      <c r="F20" s="148" t="s">
        <v>30</v>
      </c>
      <c r="G20" s="148"/>
      <c r="H20" s="148"/>
      <c r="I20" s="149"/>
      <c r="J20" s="150"/>
      <c r="K20" s="149"/>
      <c r="L20" s="78" t="str">
        <f t="shared" si="1"/>
        <v/>
      </c>
      <c r="M20" s="57" t="str">
        <f t="shared" si="2"/>
        <v/>
      </c>
      <c r="N20" s="84" t="str">
        <f t="shared" si="3"/>
        <v/>
      </c>
      <c r="O20" s="152" t="str">
        <f t="shared" si="4"/>
        <v/>
      </c>
      <c r="P20" s="156" t="str">
        <f t="shared" si="5"/>
        <v/>
      </c>
      <c r="Q20" s="154" t="str">
        <f t="shared" si="6"/>
        <v/>
      </c>
      <c r="R20" s="8" t="str">
        <f t="shared" si="7"/>
        <v/>
      </c>
      <c r="S20" s="158" t="str">
        <f t="shared" si="8"/>
        <v/>
      </c>
      <c r="T20" s="23" t="str">
        <f t="shared" si="9"/>
        <v/>
      </c>
      <c r="Y20" s="68" t="str">
        <f t="shared" si="10"/>
        <v>4x+</v>
      </c>
      <c r="Z20" s="71">
        <f>'Base Data'!L21</f>
        <v>881.00483929625113</v>
      </c>
      <c r="AA20" s="71">
        <f>'Base Data'!M21</f>
        <v>980.09818691251849</v>
      </c>
      <c r="AC20" s="26" t="str">
        <f>'Base Data'!K55</f>
        <v>H</v>
      </c>
      <c r="AD20" s="86">
        <f>'Base Data'!N55</f>
        <v>0.8743333333333333</v>
      </c>
      <c r="AE20" s="86">
        <f>'Base Data'!O55</f>
        <v>1.1437285550895921</v>
      </c>
    </row>
    <row r="21" spans="1:31" x14ac:dyDescent="0.25">
      <c r="A21" s="182" t="str">
        <f>IF(C21="","","17th to 20th")</f>
        <v/>
      </c>
      <c r="C21" s="26" t="str">
        <f t="shared" si="0"/>
        <v/>
      </c>
      <c r="D21" s="151"/>
      <c r="E21" s="148"/>
      <c r="F21" s="148" t="s">
        <v>30</v>
      </c>
      <c r="G21" s="148"/>
      <c r="H21" s="148"/>
      <c r="I21" s="149"/>
      <c r="J21" s="150"/>
      <c r="K21" s="149"/>
      <c r="L21" s="78" t="str">
        <f t="shared" si="1"/>
        <v/>
      </c>
      <c r="M21" s="57" t="str">
        <f t="shared" si="2"/>
        <v/>
      </c>
      <c r="N21" s="84" t="str">
        <f t="shared" si="3"/>
        <v/>
      </c>
      <c r="O21" s="152" t="str">
        <f t="shared" si="4"/>
        <v/>
      </c>
      <c r="P21" s="156" t="str">
        <f t="shared" si="5"/>
        <v/>
      </c>
      <c r="Q21" s="154" t="str">
        <f t="shared" si="6"/>
        <v/>
      </c>
      <c r="R21" s="8" t="str">
        <f t="shared" si="7"/>
        <v/>
      </c>
      <c r="S21" s="158" t="str">
        <f t="shared" si="8"/>
        <v/>
      </c>
      <c r="T21" s="23" t="str">
        <f t="shared" si="9"/>
        <v/>
      </c>
      <c r="Y21" s="69" t="str">
        <f t="shared" si="10"/>
        <v>8+</v>
      </c>
      <c r="Z21" s="72">
        <f>'Base Data'!L24</f>
        <v>800.70431986183189</v>
      </c>
      <c r="AA21" s="72">
        <f>'Base Data'!M24</f>
        <v>890.76565433678888</v>
      </c>
      <c r="AC21" s="26" t="str">
        <f>'Base Data'!K56</f>
        <v>I</v>
      </c>
      <c r="AD21" s="86">
        <f>'Base Data'!N56</f>
        <v>0.84699999999999998</v>
      </c>
      <c r="AE21" s="86">
        <f>'Base Data'!O56</f>
        <v>1.1806375442739079</v>
      </c>
    </row>
    <row r="22" spans="1:31" x14ac:dyDescent="0.25">
      <c r="A22" s="183"/>
      <c r="C22" s="26" t="str">
        <f t="shared" si="0"/>
        <v/>
      </c>
      <c r="D22" s="151"/>
      <c r="E22" s="148"/>
      <c r="F22" s="148" t="s">
        <v>30</v>
      </c>
      <c r="G22" s="148"/>
      <c r="H22" s="148"/>
      <c r="I22" s="149"/>
      <c r="J22" s="150"/>
      <c r="K22" s="149"/>
      <c r="L22" s="78" t="str">
        <f t="shared" si="1"/>
        <v/>
      </c>
      <c r="M22" s="57" t="str">
        <f t="shared" si="2"/>
        <v/>
      </c>
      <c r="N22" s="84" t="str">
        <f t="shared" si="3"/>
        <v/>
      </c>
      <c r="O22" s="152" t="str">
        <f t="shared" si="4"/>
        <v/>
      </c>
      <c r="P22" s="156" t="str">
        <f t="shared" si="5"/>
        <v/>
      </c>
      <c r="Q22" s="154" t="str">
        <f t="shared" si="6"/>
        <v/>
      </c>
      <c r="R22" s="8" t="str">
        <f t="shared" si="7"/>
        <v/>
      </c>
      <c r="S22" s="158" t="str">
        <f t="shared" si="8"/>
        <v/>
      </c>
      <c r="T22" s="23" t="str">
        <f t="shared" si="9"/>
        <v/>
      </c>
      <c r="AC22" s="26" t="str">
        <f>'Base Data'!K57</f>
        <v>S</v>
      </c>
      <c r="AD22" s="86">
        <f>'Base Data'!N57</f>
        <v>1</v>
      </c>
      <c r="AE22" s="86">
        <f>'Base Data'!O57</f>
        <v>1</v>
      </c>
    </row>
    <row r="23" spans="1:31" x14ac:dyDescent="0.25">
      <c r="A23" s="183"/>
      <c r="C23" s="26" t="str">
        <f t="shared" si="0"/>
        <v/>
      </c>
      <c r="D23" s="151"/>
      <c r="E23" s="148"/>
      <c r="F23" s="148" t="s">
        <v>30</v>
      </c>
      <c r="G23" s="148"/>
      <c r="H23" s="148"/>
      <c r="I23" s="149"/>
      <c r="J23" s="150"/>
      <c r="K23" s="149"/>
      <c r="L23" s="78" t="str">
        <f t="shared" si="1"/>
        <v/>
      </c>
      <c r="M23" s="57" t="str">
        <f t="shared" si="2"/>
        <v/>
      </c>
      <c r="N23" s="84" t="str">
        <f t="shared" si="3"/>
        <v/>
      </c>
      <c r="O23" s="152" t="str">
        <f t="shared" si="4"/>
        <v/>
      </c>
      <c r="P23" s="156" t="str">
        <f t="shared" si="5"/>
        <v/>
      </c>
      <c r="Q23" s="154" t="str">
        <f t="shared" si="6"/>
        <v/>
      </c>
      <c r="R23" s="8" t="str">
        <f t="shared" si="7"/>
        <v/>
      </c>
      <c r="S23" s="158" t="str">
        <f t="shared" si="8"/>
        <v/>
      </c>
      <c r="T23" s="23" t="str">
        <f t="shared" si="9"/>
        <v/>
      </c>
    </row>
    <row r="24" spans="1:31" x14ac:dyDescent="0.25">
      <c r="A24" s="184"/>
      <c r="C24" s="26" t="str">
        <f t="shared" si="0"/>
        <v/>
      </c>
      <c r="D24" s="151"/>
      <c r="E24" s="148"/>
      <c r="F24" s="148" t="s">
        <v>30</v>
      </c>
      <c r="G24" s="148"/>
      <c r="H24" s="148"/>
      <c r="I24" s="149"/>
      <c r="J24" s="150"/>
      <c r="K24" s="149"/>
      <c r="L24" s="78" t="str">
        <f t="shared" si="1"/>
        <v/>
      </c>
      <c r="M24" s="57" t="str">
        <f t="shared" si="2"/>
        <v/>
      </c>
      <c r="N24" s="84" t="str">
        <f t="shared" si="3"/>
        <v/>
      </c>
      <c r="O24" s="152" t="str">
        <f t="shared" si="4"/>
        <v/>
      </c>
      <c r="P24" s="156" t="str">
        <f t="shared" si="5"/>
        <v/>
      </c>
      <c r="Q24" s="154" t="str">
        <f t="shared" si="6"/>
        <v/>
      </c>
      <c r="R24" s="8" t="str">
        <f t="shared" si="7"/>
        <v/>
      </c>
      <c r="S24" s="158" t="str">
        <f t="shared" si="8"/>
        <v/>
      </c>
      <c r="T24" s="23" t="str">
        <f t="shared" si="9"/>
        <v/>
      </c>
    </row>
    <row r="25" spans="1:31" x14ac:dyDescent="0.25">
      <c r="A25" s="182" t="str">
        <f>IF(C25="","","21st to 24th")</f>
        <v/>
      </c>
      <c r="C25" s="26" t="str">
        <f t="shared" si="0"/>
        <v/>
      </c>
      <c r="D25" s="151"/>
      <c r="E25" s="148"/>
      <c r="F25" s="148" t="s">
        <v>30</v>
      </c>
      <c r="G25" s="148"/>
      <c r="H25" s="148"/>
      <c r="I25" s="149"/>
      <c r="J25" s="150"/>
      <c r="K25" s="149"/>
      <c r="L25" s="78" t="str">
        <f t="shared" si="1"/>
        <v/>
      </c>
      <c r="M25" s="57" t="str">
        <f t="shared" si="2"/>
        <v/>
      </c>
      <c r="N25" s="84" t="str">
        <f t="shared" si="3"/>
        <v/>
      </c>
      <c r="O25" s="152" t="str">
        <f t="shared" si="4"/>
        <v/>
      </c>
      <c r="P25" s="156" t="str">
        <f t="shared" si="5"/>
        <v/>
      </c>
      <c r="Q25" s="154" t="str">
        <f t="shared" si="6"/>
        <v/>
      </c>
      <c r="R25" s="8" t="str">
        <f t="shared" si="7"/>
        <v/>
      </c>
      <c r="S25" s="158" t="str">
        <f t="shared" si="8"/>
        <v/>
      </c>
      <c r="T25" s="23" t="str">
        <f t="shared" si="9"/>
        <v/>
      </c>
    </row>
    <row r="26" spans="1:31" x14ac:dyDescent="0.25">
      <c r="A26" s="183"/>
      <c r="C26" s="26" t="str">
        <f t="shared" si="0"/>
        <v/>
      </c>
      <c r="D26" s="151"/>
      <c r="E26" s="148"/>
      <c r="F26" s="148" t="s">
        <v>30</v>
      </c>
      <c r="G26" s="148"/>
      <c r="H26" s="148"/>
      <c r="I26" s="149"/>
      <c r="J26" s="150"/>
      <c r="K26" s="149"/>
      <c r="L26" s="78" t="str">
        <f t="shared" si="1"/>
        <v/>
      </c>
      <c r="M26" s="57" t="str">
        <f t="shared" si="2"/>
        <v/>
      </c>
      <c r="N26" s="84" t="str">
        <f t="shared" si="3"/>
        <v/>
      </c>
      <c r="O26" s="152" t="str">
        <f t="shared" si="4"/>
        <v/>
      </c>
      <c r="P26" s="156" t="str">
        <f t="shared" si="5"/>
        <v/>
      </c>
      <c r="Q26" s="154" t="str">
        <f t="shared" si="6"/>
        <v/>
      </c>
      <c r="R26" s="8" t="str">
        <f t="shared" si="7"/>
        <v/>
      </c>
      <c r="S26" s="158" t="str">
        <f t="shared" si="8"/>
        <v/>
      </c>
      <c r="T26" s="23" t="str">
        <f t="shared" si="9"/>
        <v/>
      </c>
    </row>
    <row r="27" spans="1:31" x14ac:dyDescent="0.25">
      <c r="A27" s="183"/>
      <c r="C27" s="26" t="str">
        <f t="shared" si="0"/>
        <v/>
      </c>
      <c r="D27" s="151"/>
      <c r="E27" s="148"/>
      <c r="F27" s="148" t="s">
        <v>30</v>
      </c>
      <c r="G27" s="148"/>
      <c r="H27" s="148"/>
      <c r="I27" s="149"/>
      <c r="J27" s="150"/>
      <c r="K27" s="149"/>
      <c r="L27" s="78" t="str">
        <f t="shared" si="1"/>
        <v/>
      </c>
      <c r="M27" s="57" t="str">
        <f t="shared" si="2"/>
        <v/>
      </c>
      <c r="N27" s="84" t="str">
        <f t="shared" si="3"/>
        <v/>
      </c>
      <c r="O27" s="152" t="str">
        <f t="shared" si="4"/>
        <v/>
      </c>
      <c r="P27" s="156" t="str">
        <f t="shared" si="5"/>
        <v/>
      </c>
      <c r="Q27" s="154" t="str">
        <f t="shared" si="6"/>
        <v/>
      </c>
      <c r="R27" s="8" t="str">
        <f t="shared" si="7"/>
        <v/>
      </c>
      <c r="S27" s="158" t="str">
        <f t="shared" si="8"/>
        <v/>
      </c>
      <c r="T27" s="23" t="str">
        <f t="shared" si="9"/>
        <v/>
      </c>
    </row>
    <row r="28" spans="1:31" x14ac:dyDescent="0.25">
      <c r="A28" s="184"/>
      <c r="C28" s="26" t="str">
        <f t="shared" si="0"/>
        <v/>
      </c>
      <c r="D28" s="151"/>
      <c r="E28" s="148"/>
      <c r="F28" s="148" t="s">
        <v>30</v>
      </c>
      <c r="G28" s="148"/>
      <c r="H28" s="148"/>
      <c r="I28" s="149"/>
      <c r="J28" s="150"/>
      <c r="K28" s="149"/>
      <c r="L28" s="78" t="str">
        <f t="shared" si="1"/>
        <v/>
      </c>
      <c r="M28" s="57" t="str">
        <f t="shared" si="2"/>
        <v/>
      </c>
      <c r="N28" s="84" t="str">
        <f t="shared" si="3"/>
        <v/>
      </c>
      <c r="O28" s="152" t="str">
        <f t="shared" si="4"/>
        <v/>
      </c>
      <c r="P28" s="156" t="str">
        <f t="shared" si="5"/>
        <v/>
      </c>
      <c r="Q28" s="154" t="str">
        <f t="shared" si="6"/>
        <v/>
      </c>
      <c r="R28" s="8" t="str">
        <f t="shared" si="7"/>
        <v/>
      </c>
      <c r="S28" s="158" t="str">
        <f t="shared" si="8"/>
        <v/>
      </c>
      <c r="T28" s="23" t="str">
        <f t="shared" si="9"/>
        <v/>
      </c>
    </row>
    <row r="29" spans="1:31" x14ac:dyDescent="0.25">
      <c r="A29" s="182" t="str">
        <f>IF(C29="","","25th to 28th")</f>
        <v/>
      </c>
      <c r="C29" s="26" t="str">
        <f t="shared" si="0"/>
        <v/>
      </c>
      <c r="D29" s="151"/>
      <c r="E29" s="148"/>
      <c r="F29" s="148" t="s">
        <v>30</v>
      </c>
      <c r="G29" s="148"/>
      <c r="H29" s="148"/>
      <c r="I29" s="149"/>
      <c r="J29" s="150"/>
      <c r="K29" s="149"/>
      <c r="L29" s="78" t="str">
        <f t="shared" si="1"/>
        <v/>
      </c>
      <c r="M29" s="57" t="str">
        <f t="shared" si="2"/>
        <v/>
      </c>
      <c r="N29" s="84" t="str">
        <f t="shared" si="3"/>
        <v/>
      </c>
      <c r="O29" s="152" t="str">
        <f t="shared" si="4"/>
        <v/>
      </c>
      <c r="P29" s="156" t="str">
        <f t="shared" si="5"/>
        <v/>
      </c>
      <c r="Q29" s="154" t="str">
        <f t="shared" si="6"/>
        <v/>
      </c>
      <c r="R29" s="8" t="str">
        <f t="shared" si="7"/>
        <v/>
      </c>
      <c r="S29" s="158" t="str">
        <f t="shared" si="8"/>
        <v/>
      </c>
      <c r="T29" s="23" t="str">
        <f t="shared" si="9"/>
        <v/>
      </c>
    </row>
    <row r="30" spans="1:31" x14ac:dyDescent="0.25">
      <c r="A30" s="183"/>
      <c r="C30" s="26" t="str">
        <f t="shared" si="0"/>
        <v/>
      </c>
      <c r="D30" s="151"/>
      <c r="E30" s="148"/>
      <c r="F30" s="148" t="s">
        <v>30</v>
      </c>
      <c r="G30" s="148"/>
      <c r="H30" s="148"/>
      <c r="I30" s="149"/>
      <c r="J30" s="150"/>
      <c r="K30" s="149"/>
      <c r="L30" s="78" t="str">
        <f t="shared" si="1"/>
        <v/>
      </c>
      <c r="M30" s="57" t="str">
        <f t="shared" si="2"/>
        <v/>
      </c>
      <c r="N30" s="84" t="str">
        <f t="shared" si="3"/>
        <v/>
      </c>
      <c r="O30" s="152" t="str">
        <f t="shared" si="4"/>
        <v/>
      </c>
      <c r="P30" s="156" t="str">
        <f t="shared" si="5"/>
        <v/>
      </c>
      <c r="Q30" s="154" t="str">
        <f t="shared" si="6"/>
        <v/>
      </c>
      <c r="R30" s="8" t="str">
        <f t="shared" si="7"/>
        <v/>
      </c>
      <c r="S30" s="158" t="str">
        <f t="shared" si="8"/>
        <v/>
      </c>
      <c r="T30" s="23" t="str">
        <f t="shared" si="9"/>
        <v/>
      </c>
    </row>
    <row r="31" spans="1:31" x14ac:dyDescent="0.25">
      <c r="A31" s="183"/>
      <c r="C31" s="26" t="str">
        <f t="shared" si="0"/>
        <v/>
      </c>
      <c r="D31" s="151"/>
      <c r="E31" s="148"/>
      <c r="F31" s="148" t="s">
        <v>30</v>
      </c>
      <c r="G31" s="148"/>
      <c r="H31" s="148"/>
      <c r="I31" s="149"/>
      <c r="J31" s="150"/>
      <c r="K31" s="149"/>
      <c r="L31" s="78" t="str">
        <f t="shared" si="1"/>
        <v/>
      </c>
      <c r="M31" s="57" t="str">
        <f t="shared" si="2"/>
        <v/>
      </c>
      <c r="N31" s="84" t="str">
        <f t="shared" si="3"/>
        <v/>
      </c>
      <c r="O31" s="152" t="str">
        <f t="shared" si="4"/>
        <v/>
      </c>
      <c r="P31" s="156" t="str">
        <f t="shared" si="5"/>
        <v/>
      </c>
      <c r="Q31" s="154" t="str">
        <f t="shared" si="6"/>
        <v/>
      </c>
      <c r="R31" s="8" t="str">
        <f t="shared" si="7"/>
        <v/>
      </c>
      <c r="S31" s="158" t="str">
        <f t="shared" si="8"/>
        <v/>
      </c>
      <c r="T31" s="23" t="str">
        <f t="shared" si="9"/>
        <v/>
      </c>
    </row>
    <row r="32" spans="1:31" x14ac:dyDescent="0.25">
      <c r="A32" s="184"/>
      <c r="C32" s="26" t="str">
        <f t="shared" si="0"/>
        <v/>
      </c>
      <c r="D32" s="151"/>
      <c r="E32" s="148"/>
      <c r="F32" s="148" t="s">
        <v>30</v>
      </c>
      <c r="G32" s="148"/>
      <c r="H32" s="148"/>
      <c r="I32" s="149"/>
      <c r="J32" s="150"/>
      <c r="K32" s="149"/>
      <c r="L32" s="78" t="str">
        <f t="shared" si="1"/>
        <v/>
      </c>
      <c r="M32" s="57" t="str">
        <f t="shared" si="2"/>
        <v/>
      </c>
      <c r="N32" s="84" t="str">
        <f t="shared" si="3"/>
        <v/>
      </c>
      <c r="O32" s="152" t="str">
        <f t="shared" si="4"/>
        <v/>
      </c>
      <c r="P32" s="156" t="str">
        <f t="shared" si="5"/>
        <v/>
      </c>
      <c r="Q32" s="154" t="str">
        <f t="shared" si="6"/>
        <v/>
      </c>
      <c r="R32" s="8" t="str">
        <f t="shared" si="7"/>
        <v/>
      </c>
      <c r="S32" s="158" t="str">
        <f t="shared" si="8"/>
        <v/>
      </c>
      <c r="T32" s="23" t="str">
        <f t="shared" si="9"/>
        <v/>
      </c>
    </row>
    <row r="33" spans="1:20" x14ac:dyDescent="0.25">
      <c r="A33" s="182" t="str">
        <f>IF(C33="","","29th to 32nd")</f>
        <v/>
      </c>
      <c r="C33" s="26" t="str">
        <f t="shared" si="0"/>
        <v/>
      </c>
      <c r="D33" s="151"/>
      <c r="E33" s="148"/>
      <c r="F33" s="148" t="s">
        <v>30</v>
      </c>
      <c r="G33" s="148"/>
      <c r="H33" s="148"/>
      <c r="I33" s="149"/>
      <c r="J33" s="150"/>
      <c r="K33" s="149"/>
      <c r="L33" s="78" t="str">
        <f t="shared" si="1"/>
        <v/>
      </c>
      <c r="M33" s="57" t="str">
        <f t="shared" si="2"/>
        <v/>
      </c>
      <c r="N33" s="84" t="str">
        <f t="shared" si="3"/>
        <v/>
      </c>
      <c r="O33" s="152" t="str">
        <f t="shared" si="4"/>
        <v/>
      </c>
      <c r="P33" s="156" t="str">
        <f t="shared" si="5"/>
        <v/>
      </c>
      <c r="Q33" s="154" t="str">
        <f t="shared" si="6"/>
        <v/>
      </c>
      <c r="R33" s="8" t="str">
        <f t="shared" si="7"/>
        <v/>
      </c>
      <c r="S33" s="158" t="str">
        <f t="shared" si="8"/>
        <v/>
      </c>
      <c r="T33" s="23" t="str">
        <f t="shared" si="9"/>
        <v/>
      </c>
    </row>
    <row r="34" spans="1:20" x14ac:dyDescent="0.25">
      <c r="A34" s="183"/>
      <c r="C34" s="26" t="str">
        <f t="shared" si="0"/>
        <v/>
      </c>
      <c r="D34" s="151"/>
      <c r="E34" s="148"/>
      <c r="F34" s="148" t="s">
        <v>30</v>
      </c>
      <c r="G34" s="148"/>
      <c r="H34" s="148"/>
      <c r="I34" s="149"/>
      <c r="J34" s="150"/>
      <c r="K34" s="149"/>
      <c r="L34" s="78" t="str">
        <f t="shared" si="1"/>
        <v/>
      </c>
      <c r="M34" s="57" t="str">
        <f t="shared" si="2"/>
        <v/>
      </c>
      <c r="N34" s="84" t="str">
        <f t="shared" si="3"/>
        <v/>
      </c>
      <c r="O34" s="152" t="str">
        <f t="shared" si="4"/>
        <v/>
      </c>
      <c r="P34" s="156" t="str">
        <f t="shared" si="5"/>
        <v/>
      </c>
      <c r="Q34" s="154" t="str">
        <f t="shared" si="6"/>
        <v/>
      </c>
      <c r="R34" s="8" t="str">
        <f t="shared" si="7"/>
        <v/>
      </c>
      <c r="S34" s="158" t="str">
        <f t="shared" si="8"/>
        <v/>
      </c>
      <c r="T34" s="23" t="str">
        <f t="shared" si="9"/>
        <v/>
      </c>
    </row>
    <row r="35" spans="1:20" x14ac:dyDescent="0.25">
      <c r="A35" s="183"/>
      <c r="C35" s="26" t="str">
        <f t="shared" si="0"/>
        <v/>
      </c>
      <c r="D35" s="151"/>
      <c r="E35" s="148"/>
      <c r="F35" s="148" t="s">
        <v>30</v>
      </c>
      <c r="G35" s="148"/>
      <c r="H35" s="148"/>
      <c r="I35" s="149"/>
      <c r="J35" s="150"/>
      <c r="K35" s="149"/>
      <c r="L35" s="78" t="str">
        <f t="shared" si="1"/>
        <v/>
      </c>
      <c r="M35" s="57" t="str">
        <f t="shared" si="2"/>
        <v/>
      </c>
      <c r="N35" s="84" t="str">
        <f t="shared" si="3"/>
        <v/>
      </c>
      <c r="O35" s="152" t="str">
        <f t="shared" si="4"/>
        <v/>
      </c>
      <c r="P35" s="156" t="str">
        <f t="shared" si="5"/>
        <v/>
      </c>
      <c r="Q35" s="154" t="str">
        <f t="shared" si="6"/>
        <v/>
      </c>
      <c r="R35" s="8" t="str">
        <f t="shared" si="7"/>
        <v/>
      </c>
      <c r="S35" s="158" t="str">
        <f t="shared" si="8"/>
        <v/>
      </c>
      <c r="T35" s="23" t="str">
        <f t="shared" si="9"/>
        <v/>
      </c>
    </row>
    <row r="36" spans="1:20" x14ac:dyDescent="0.25">
      <c r="A36" s="184"/>
      <c r="C36" s="26" t="str">
        <f t="shared" si="0"/>
        <v/>
      </c>
      <c r="D36" s="151"/>
      <c r="E36" s="148"/>
      <c r="F36" s="148" t="s">
        <v>30</v>
      </c>
      <c r="G36" s="148"/>
      <c r="H36" s="148"/>
      <c r="I36" s="149"/>
      <c r="J36" s="150"/>
      <c r="K36" s="149"/>
      <c r="L36" s="78" t="str">
        <f t="shared" si="1"/>
        <v/>
      </c>
      <c r="M36" s="57" t="str">
        <f t="shared" si="2"/>
        <v/>
      </c>
      <c r="N36" s="84" t="str">
        <f t="shared" si="3"/>
        <v/>
      </c>
      <c r="O36" s="152" t="str">
        <f t="shared" si="4"/>
        <v/>
      </c>
      <c r="P36" s="156" t="str">
        <f t="shared" si="5"/>
        <v/>
      </c>
      <c r="Q36" s="154" t="str">
        <f t="shared" si="6"/>
        <v/>
      </c>
      <c r="R36" s="8" t="str">
        <f t="shared" si="7"/>
        <v/>
      </c>
      <c r="S36" s="158" t="str">
        <f t="shared" si="8"/>
        <v/>
      </c>
      <c r="T36" s="23" t="str">
        <f t="shared" si="9"/>
        <v/>
      </c>
    </row>
    <row r="37" spans="1:20" x14ac:dyDescent="0.25">
      <c r="A37" s="182" t="str">
        <f>IF(C37="","","33rd to 36th")</f>
        <v/>
      </c>
      <c r="C37" s="26" t="str">
        <f t="shared" si="0"/>
        <v/>
      </c>
      <c r="D37" s="151"/>
      <c r="E37" s="148"/>
      <c r="F37" s="148" t="s">
        <v>30</v>
      </c>
      <c r="G37" s="148"/>
      <c r="H37" s="148"/>
      <c r="I37" s="149"/>
      <c r="J37" s="150"/>
      <c r="K37" s="149"/>
      <c r="L37" s="78" t="str">
        <f t="shared" si="1"/>
        <v/>
      </c>
      <c r="M37" s="57" t="str">
        <f t="shared" si="2"/>
        <v/>
      </c>
      <c r="N37" s="84" t="str">
        <f t="shared" si="3"/>
        <v/>
      </c>
      <c r="O37" s="152" t="str">
        <f t="shared" si="4"/>
        <v/>
      </c>
      <c r="P37" s="156" t="str">
        <f t="shared" si="5"/>
        <v/>
      </c>
      <c r="Q37" s="154" t="str">
        <f t="shared" si="6"/>
        <v/>
      </c>
      <c r="R37" s="8" t="str">
        <f t="shared" si="7"/>
        <v/>
      </c>
      <c r="S37" s="158" t="str">
        <f t="shared" si="8"/>
        <v/>
      </c>
      <c r="T37" s="23" t="str">
        <f t="shared" si="9"/>
        <v/>
      </c>
    </row>
    <row r="38" spans="1:20" x14ac:dyDescent="0.25">
      <c r="A38" s="183"/>
      <c r="C38" s="26" t="str">
        <f t="shared" si="0"/>
        <v/>
      </c>
      <c r="D38" s="151"/>
      <c r="E38" s="148"/>
      <c r="F38" s="148" t="s">
        <v>30</v>
      </c>
      <c r="G38" s="148"/>
      <c r="H38" s="148"/>
      <c r="I38" s="149"/>
      <c r="J38" s="150"/>
      <c r="K38" s="149"/>
      <c r="L38" s="78" t="str">
        <f t="shared" si="1"/>
        <v/>
      </c>
      <c r="M38" s="57" t="str">
        <f t="shared" si="2"/>
        <v/>
      </c>
      <c r="N38" s="84" t="str">
        <f t="shared" si="3"/>
        <v/>
      </c>
      <c r="O38" s="152" t="str">
        <f t="shared" si="4"/>
        <v/>
      </c>
      <c r="P38" s="156" t="str">
        <f t="shared" si="5"/>
        <v/>
      </c>
      <c r="Q38" s="154" t="str">
        <f t="shared" si="6"/>
        <v/>
      </c>
      <c r="R38" s="8" t="str">
        <f t="shared" si="7"/>
        <v/>
      </c>
      <c r="S38" s="158" t="str">
        <f t="shared" si="8"/>
        <v/>
      </c>
      <c r="T38" s="23" t="str">
        <f t="shared" si="9"/>
        <v/>
      </c>
    </row>
    <row r="39" spans="1:20" x14ac:dyDescent="0.25">
      <c r="A39" s="183"/>
      <c r="C39" s="26" t="str">
        <f t="shared" si="0"/>
        <v/>
      </c>
      <c r="D39" s="151"/>
      <c r="E39" s="148"/>
      <c r="F39" s="148" t="s">
        <v>30</v>
      </c>
      <c r="G39" s="148"/>
      <c r="H39" s="148"/>
      <c r="I39" s="149"/>
      <c r="J39" s="150"/>
      <c r="K39" s="149"/>
      <c r="L39" s="78" t="str">
        <f t="shared" si="1"/>
        <v/>
      </c>
      <c r="M39" s="57" t="str">
        <f t="shared" si="2"/>
        <v/>
      </c>
      <c r="N39" s="84" t="str">
        <f t="shared" si="3"/>
        <v/>
      </c>
      <c r="O39" s="152" t="str">
        <f t="shared" si="4"/>
        <v/>
      </c>
      <c r="P39" s="156" t="str">
        <f t="shared" si="5"/>
        <v/>
      </c>
      <c r="Q39" s="154" t="str">
        <f t="shared" si="6"/>
        <v/>
      </c>
      <c r="R39" s="8" t="str">
        <f t="shared" si="7"/>
        <v/>
      </c>
      <c r="S39" s="158" t="str">
        <f t="shared" si="8"/>
        <v/>
      </c>
      <c r="T39" s="23" t="str">
        <f t="shared" si="9"/>
        <v/>
      </c>
    </row>
    <row r="40" spans="1:20" x14ac:dyDescent="0.25">
      <c r="A40" s="184"/>
      <c r="C40" s="26" t="str">
        <f t="shared" si="0"/>
        <v/>
      </c>
      <c r="D40" s="151"/>
      <c r="E40" s="148"/>
      <c r="F40" s="148" t="s">
        <v>30</v>
      </c>
      <c r="G40" s="148"/>
      <c r="H40" s="148"/>
      <c r="I40" s="149"/>
      <c r="J40" s="150"/>
      <c r="K40" s="149"/>
      <c r="L40" s="78" t="str">
        <f t="shared" si="1"/>
        <v/>
      </c>
      <c r="M40" s="57" t="str">
        <f t="shared" si="2"/>
        <v/>
      </c>
      <c r="N40" s="84" t="str">
        <f t="shared" si="3"/>
        <v/>
      </c>
      <c r="O40" s="152" t="str">
        <f t="shared" si="4"/>
        <v/>
      </c>
      <c r="P40" s="156" t="str">
        <f t="shared" si="5"/>
        <v/>
      </c>
      <c r="Q40" s="154" t="str">
        <f t="shared" si="6"/>
        <v/>
      </c>
      <c r="R40" s="8" t="str">
        <f t="shared" si="7"/>
        <v/>
      </c>
      <c r="S40" s="158" t="str">
        <f t="shared" si="8"/>
        <v/>
      </c>
      <c r="T40" s="23" t="str">
        <f t="shared" si="9"/>
        <v/>
      </c>
    </row>
    <row r="41" spans="1:20" x14ac:dyDescent="0.25">
      <c r="A41" s="182" t="str">
        <f>IF(C41="","","37th to 40th")</f>
        <v/>
      </c>
      <c r="C41" s="26" t="str">
        <f t="shared" si="0"/>
        <v/>
      </c>
      <c r="D41" s="151"/>
      <c r="E41" s="148"/>
      <c r="F41" s="148" t="s">
        <v>30</v>
      </c>
      <c r="G41" s="148"/>
      <c r="H41" s="148"/>
      <c r="I41" s="149"/>
      <c r="J41" s="150"/>
      <c r="K41" s="149"/>
      <c r="L41" s="78" t="str">
        <f t="shared" si="1"/>
        <v/>
      </c>
      <c r="M41" s="57" t="str">
        <f t="shared" si="2"/>
        <v/>
      </c>
      <c r="N41" s="84" t="str">
        <f t="shared" si="3"/>
        <v/>
      </c>
      <c r="O41" s="152" t="str">
        <f t="shared" si="4"/>
        <v/>
      </c>
      <c r="P41" s="156" t="str">
        <f t="shared" si="5"/>
        <v/>
      </c>
      <c r="Q41" s="154" t="str">
        <f t="shared" si="6"/>
        <v/>
      </c>
      <c r="R41" s="8" t="str">
        <f t="shared" si="7"/>
        <v/>
      </c>
      <c r="S41" s="158" t="str">
        <f t="shared" si="8"/>
        <v/>
      </c>
      <c r="T41" s="23" t="str">
        <f t="shared" si="9"/>
        <v/>
      </c>
    </row>
    <row r="42" spans="1:20" x14ac:dyDescent="0.25">
      <c r="A42" s="183"/>
      <c r="C42" s="26" t="str">
        <f t="shared" si="0"/>
        <v/>
      </c>
      <c r="D42" s="151"/>
      <c r="E42" s="148"/>
      <c r="F42" s="148" t="s">
        <v>30</v>
      </c>
      <c r="G42" s="148"/>
      <c r="H42" s="148"/>
      <c r="I42" s="149"/>
      <c r="J42" s="150"/>
      <c r="K42" s="149"/>
      <c r="L42" s="78" t="str">
        <f t="shared" si="1"/>
        <v/>
      </c>
      <c r="M42" s="57" t="str">
        <f t="shared" si="2"/>
        <v/>
      </c>
      <c r="N42" s="84" t="str">
        <f t="shared" si="3"/>
        <v/>
      </c>
      <c r="O42" s="152" t="str">
        <f t="shared" si="4"/>
        <v/>
      </c>
      <c r="P42" s="156" t="str">
        <f t="shared" si="5"/>
        <v/>
      </c>
      <c r="Q42" s="154" t="str">
        <f t="shared" si="6"/>
        <v/>
      </c>
      <c r="R42" s="8" t="str">
        <f t="shared" si="7"/>
        <v/>
      </c>
      <c r="S42" s="158" t="str">
        <f t="shared" si="8"/>
        <v/>
      </c>
      <c r="T42" s="23" t="str">
        <f t="shared" si="9"/>
        <v/>
      </c>
    </row>
    <row r="43" spans="1:20" x14ac:dyDescent="0.25">
      <c r="A43" s="183"/>
      <c r="C43" s="26" t="str">
        <f t="shared" si="0"/>
        <v/>
      </c>
      <c r="D43" s="151"/>
      <c r="E43" s="148"/>
      <c r="F43" s="148" t="s">
        <v>30</v>
      </c>
      <c r="G43" s="148"/>
      <c r="H43" s="148"/>
      <c r="I43" s="149"/>
      <c r="J43" s="150"/>
      <c r="K43" s="149"/>
      <c r="L43" s="78" t="str">
        <f t="shared" si="1"/>
        <v/>
      </c>
      <c r="M43" s="57" t="str">
        <f t="shared" si="2"/>
        <v/>
      </c>
      <c r="N43" s="84" t="str">
        <f t="shared" si="3"/>
        <v/>
      </c>
      <c r="O43" s="152" t="str">
        <f t="shared" si="4"/>
        <v/>
      </c>
      <c r="P43" s="156" t="str">
        <f t="shared" si="5"/>
        <v/>
      </c>
      <c r="Q43" s="154" t="str">
        <f t="shared" si="6"/>
        <v/>
      </c>
      <c r="R43" s="8" t="str">
        <f t="shared" si="7"/>
        <v/>
      </c>
      <c r="S43" s="158" t="str">
        <f t="shared" si="8"/>
        <v/>
      </c>
      <c r="T43" s="23" t="str">
        <f t="shared" si="9"/>
        <v/>
      </c>
    </row>
    <row r="44" spans="1:20" x14ac:dyDescent="0.25">
      <c r="A44" s="184"/>
      <c r="C44" s="26" t="str">
        <f t="shared" si="0"/>
        <v/>
      </c>
      <c r="D44" s="151"/>
      <c r="E44" s="148"/>
      <c r="F44" s="148" t="s">
        <v>30</v>
      </c>
      <c r="G44" s="148"/>
      <c r="H44" s="148"/>
      <c r="I44" s="149"/>
      <c r="J44" s="150"/>
      <c r="K44" s="149"/>
      <c r="L44" s="78" t="str">
        <f t="shared" si="1"/>
        <v/>
      </c>
      <c r="M44" s="57" t="str">
        <f t="shared" si="2"/>
        <v/>
      </c>
      <c r="N44" s="84" t="str">
        <f t="shared" si="3"/>
        <v/>
      </c>
      <c r="O44" s="152" t="str">
        <f t="shared" si="4"/>
        <v/>
      </c>
      <c r="P44" s="156" t="str">
        <f t="shared" si="5"/>
        <v/>
      </c>
      <c r="Q44" s="154" t="str">
        <f t="shared" si="6"/>
        <v/>
      </c>
      <c r="R44" s="8" t="str">
        <f t="shared" si="7"/>
        <v/>
      </c>
      <c r="S44" s="158" t="str">
        <f t="shared" si="8"/>
        <v/>
      </c>
      <c r="T44" s="23" t="str">
        <f t="shared" si="9"/>
        <v/>
      </c>
    </row>
    <row r="45" spans="1:20" x14ac:dyDescent="0.25">
      <c r="A45" s="53"/>
      <c r="C45" s="26" t="str">
        <f t="shared" si="0"/>
        <v/>
      </c>
      <c r="D45" s="151"/>
      <c r="E45" s="148"/>
      <c r="F45" s="148" t="s">
        <v>30</v>
      </c>
      <c r="G45" s="148"/>
      <c r="H45" s="148"/>
      <c r="I45" s="149"/>
      <c r="J45" s="150"/>
      <c r="K45" s="149"/>
      <c r="L45" s="78" t="str">
        <f t="shared" si="1"/>
        <v/>
      </c>
      <c r="M45" s="57" t="str">
        <f t="shared" si="2"/>
        <v/>
      </c>
      <c r="N45" s="84" t="str">
        <f t="shared" si="3"/>
        <v/>
      </c>
      <c r="O45" s="152" t="str">
        <f t="shared" si="4"/>
        <v/>
      </c>
      <c r="P45" s="156" t="str">
        <f t="shared" si="5"/>
        <v/>
      </c>
      <c r="Q45" s="154" t="str">
        <f t="shared" si="6"/>
        <v/>
      </c>
      <c r="R45" s="8" t="str">
        <f t="shared" si="7"/>
        <v/>
      </c>
      <c r="S45" s="158" t="str">
        <f t="shared" si="8"/>
        <v/>
      </c>
      <c r="T45" s="23" t="str">
        <f t="shared" si="9"/>
        <v/>
      </c>
    </row>
    <row r="46" spans="1:20" x14ac:dyDescent="0.25">
      <c r="A46" s="53"/>
      <c r="C46" s="26" t="str">
        <f t="shared" si="0"/>
        <v/>
      </c>
      <c r="D46" s="151"/>
      <c r="E46" s="148"/>
      <c r="F46" s="148" t="s">
        <v>30</v>
      </c>
      <c r="G46" s="148"/>
      <c r="H46" s="148"/>
      <c r="I46" s="149"/>
      <c r="J46" s="150"/>
      <c r="K46" s="149"/>
      <c r="L46" s="78" t="str">
        <f t="shared" si="1"/>
        <v/>
      </c>
      <c r="M46" s="57" t="str">
        <f t="shared" si="2"/>
        <v/>
      </c>
      <c r="N46" s="84" t="str">
        <f t="shared" si="3"/>
        <v/>
      </c>
      <c r="O46" s="152" t="str">
        <f t="shared" si="4"/>
        <v/>
      </c>
      <c r="P46" s="156" t="str">
        <f t="shared" si="5"/>
        <v/>
      </c>
      <c r="Q46" s="154" t="str">
        <f t="shared" si="6"/>
        <v/>
      </c>
      <c r="R46" s="15" t="str">
        <f t="shared" si="7"/>
        <v/>
      </c>
      <c r="S46" s="159" t="str">
        <f t="shared" si="8"/>
        <v/>
      </c>
      <c r="T46" s="24" t="str">
        <f t="shared" si="9"/>
        <v/>
      </c>
    </row>
    <row r="48" spans="1:20" x14ac:dyDescent="0.25">
      <c r="C48" s="60">
        <f>COUNT(C5:C46)</f>
        <v>8</v>
      </c>
      <c r="E48" s="179"/>
      <c r="F48" s="179"/>
      <c r="G48" s="179"/>
      <c r="H48" s="179"/>
    </row>
    <row r="51" spans="6:8" x14ac:dyDescent="0.25">
      <c r="F51" s="179"/>
      <c r="G51" s="179"/>
      <c r="H51" s="179"/>
    </row>
    <row r="52" spans="6:8" x14ac:dyDescent="0.25">
      <c r="F52" s="179"/>
      <c r="G52" s="179"/>
      <c r="H52" s="179"/>
    </row>
    <row r="53" spans="6:8" x14ac:dyDescent="0.25">
      <c r="F53" s="179"/>
      <c r="G53" s="179"/>
      <c r="H53" s="179"/>
    </row>
    <row r="54" spans="6:8" x14ac:dyDescent="0.25">
      <c r="F54" s="179"/>
      <c r="G54" s="179"/>
      <c r="H54" s="179"/>
    </row>
  </sheetData>
  <autoFilter ref="A4:K46" xr:uid="{00000000-0009-0000-0000-000000000000}"/>
  <sortState ref="C5:T46">
    <sortCondition ref="C5:C46"/>
  </sortState>
  <mergeCells count="11">
    <mergeCell ref="A25:A28"/>
    <mergeCell ref="A29:A32"/>
    <mergeCell ref="A33:A36"/>
    <mergeCell ref="A37:A40"/>
    <mergeCell ref="A41:A44"/>
    <mergeCell ref="A21:A24"/>
    <mergeCell ref="AD5:AE5"/>
    <mergeCell ref="A5:A8"/>
    <mergeCell ref="A9:A12"/>
    <mergeCell ref="A13:A16"/>
    <mergeCell ref="A17:A20"/>
  </mergeCells>
  <phoneticPr fontId="7" type="noConversion"/>
  <dataValidations count="3">
    <dataValidation type="list" allowBlank="1" showInputMessage="1" showErrorMessage="1" sqref="H5:H46" xr:uid="{00000000-0002-0000-0000-000000000000}">
      <formula1>$X$5:$X$6</formula1>
    </dataValidation>
    <dataValidation type="list" allowBlank="1" showInputMessage="1" showErrorMessage="1" sqref="F5:F46" xr:uid="{00000000-0002-0000-0000-000001000000}">
      <formula1>$W$5:$W$12</formula1>
    </dataValidation>
    <dataValidation type="list" allowBlank="1" showInputMessage="1" showErrorMessage="1" sqref="G5:G46" xr:uid="{00000000-0002-0000-0000-000002000000}">
      <formula1>$AC$6:$AC$22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62"/>
  <sheetViews>
    <sheetView topLeftCell="A23" zoomScaleNormal="150" workbookViewId="0">
      <selection activeCell="M27" sqref="M27"/>
    </sheetView>
  </sheetViews>
  <sheetFormatPr defaultColWidth="8.85546875" defaultRowHeight="15" x14ac:dyDescent="0.25"/>
  <cols>
    <col min="1" max="2" width="11.42578125" style="114" customWidth="1"/>
    <col min="3" max="3" width="14" style="103" customWidth="1"/>
    <col min="4" max="4" width="8" style="115" customWidth="1"/>
    <col min="5" max="5" width="8" style="125" customWidth="1"/>
    <col min="6" max="6" width="4.7109375" style="114" bestFit="1" customWidth="1"/>
    <col min="7" max="7" width="4.7109375" style="114" customWidth="1"/>
    <col min="8" max="8" width="5.140625" style="114" bestFit="1" customWidth="1"/>
    <col min="9" max="9" width="5.42578125" bestFit="1" customWidth="1"/>
    <col min="10" max="10" width="5.140625" bestFit="1" customWidth="1"/>
    <col min="11" max="11" width="12.85546875" customWidth="1"/>
    <col min="12" max="12" width="12.42578125" customWidth="1"/>
    <col min="24" max="24" width="3.85546875" hidden="1" customWidth="1"/>
    <col min="25" max="26" width="12.140625" hidden="1" customWidth="1"/>
    <col min="27" max="27" width="0" hidden="1" customWidth="1"/>
    <col min="28" max="28" width="4.140625" hidden="1" customWidth="1"/>
    <col min="29" max="30" width="6.85546875" hidden="1" customWidth="1"/>
  </cols>
  <sheetData>
    <row r="1" spans="1:30" x14ac:dyDescent="0.25">
      <c r="A1" s="179"/>
      <c r="B1" s="179"/>
      <c r="F1" s="179"/>
      <c r="G1" s="179"/>
      <c r="H1" s="179"/>
      <c r="Y1" s="191" t="s">
        <v>38</v>
      </c>
      <c r="Z1" s="191"/>
      <c r="AA1" s="191"/>
      <c r="AB1" s="191"/>
    </row>
    <row r="2" spans="1:30" x14ac:dyDescent="0.25">
      <c r="A2" s="127"/>
      <c r="B2" s="127"/>
      <c r="C2" s="104" t="s">
        <v>39</v>
      </c>
      <c r="D2" s="120">
        <f>'Time Trial'!E1</f>
        <v>4400</v>
      </c>
      <c r="E2" s="126"/>
      <c r="F2" s="179"/>
      <c r="G2" s="179"/>
      <c r="H2" s="179"/>
      <c r="J2" s="62">
        <f>D2/2000</f>
        <v>2.2000000000000002</v>
      </c>
      <c r="K2" s="64"/>
      <c r="Y2" s="179" t="s">
        <v>19</v>
      </c>
      <c r="Z2" s="179" t="s">
        <v>20</v>
      </c>
      <c r="AA2" s="179"/>
      <c r="AB2" s="61" t="s">
        <v>8</v>
      </c>
      <c r="AC2" s="185" t="s">
        <v>24</v>
      </c>
      <c r="AD2" s="186"/>
    </row>
    <row r="3" spans="1:30" x14ac:dyDescent="0.25">
      <c r="A3" s="179"/>
      <c r="B3" s="179"/>
      <c r="F3" s="179"/>
      <c r="G3" s="179"/>
      <c r="H3" s="179"/>
      <c r="X3" t="str">
        <f>'Time Trial'!Y5</f>
        <v>1x</v>
      </c>
      <c r="Y3" s="56">
        <f>'Time Trial'!Z5</f>
        <v>399.5308555704998</v>
      </c>
      <c r="Z3" s="56">
        <f>'Time Trial'!AA5</f>
        <v>444.46914442950026</v>
      </c>
      <c r="AA3" s="56"/>
      <c r="AB3" s="26">
        <f>'Base Data'!K41</f>
        <v>7</v>
      </c>
      <c r="AC3" s="86">
        <f>'Base Data'!N41</f>
        <v>0.82671587139995406</v>
      </c>
      <c r="AD3" s="86">
        <f>'Base Data'!O41</f>
        <v>1.2096054213966014</v>
      </c>
    </row>
    <row r="4" spans="1:30" x14ac:dyDescent="0.25">
      <c r="A4" s="26" t="s">
        <v>40</v>
      </c>
      <c r="B4" s="26" t="s">
        <v>41</v>
      </c>
      <c r="C4" s="105" t="s">
        <v>42</v>
      </c>
      <c r="D4" s="99" t="s">
        <v>43</v>
      </c>
      <c r="E4" s="87" t="s">
        <v>5</v>
      </c>
      <c r="F4" s="61" t="s">
        <v>44</v>
      </c>
      <c r="G4" s="61" t="s">
        <v>8</v>
      </c>
      <c r="H4" s="61" t="s">
        <v>9</v>
      </c>
      <c r="I4" s="61"/>
      <c r="J4" s="192" t="s">
        <v>15</v>
      </c>
      <c r="K4" s="193"/>
      <c r="L4" s="81" t="s">
        <v>45</v>
      </c>
      <c r="X4" t="str">
        <f>'Time Trial'!Y6</f>
        <v>2-</v>
      </c>
      <c r="Y4" s="56">
        <f>'Time Trial'!Z6</f>
        <v>387.507059680108</v>
      </c>
      <c r="Z4" s="56">
        <f>'Time Trial'!AA6</f>
        <v>431.09294031989208</v>
      </c>
      <c r="AA4" s="56"/>
      <c r="AB4" s="26">
        <f>'Base Data'!K42</f>
        <v>8</v>
      </c>
      <c r="AC4" s="86">
        <f>'Base Data'!N42</f>
        <v>0.87648270992742439</v>
      </c>
      <c r="AD4" s="86">
        <f>'Base Data'!O42</f>
        <v>1.1409238182037877</v>
      </c>
    </row>
    <row r="5" spans="1:30" ht="14.1" customHeight="1" x14ac:dyDescent="0.25">
      <c r="A5" s="61">
        <v>1</v>
      </c>
      <c r="B5" s="182" t="str">
        <f>IF(COUNTIF(C5:C8,"")=0,"","1st to 4th")</f>
        <v>1st to 4th</v>
      </c>
      <c r="C5" s="189">
        <f>IF(AND(NOT(D5="")=TRUE,NOT(D6="")=TRUE)=TRUE,1,"")</f>
        <v>1</v>
      </c>
      <c r="D5" s="121">
        <f>IF(A5&gt;'Time Trial'!$C$48,"",VLOOKUP(A5,'Time Trial'!$C$5:$O$46,3))</f>
        <v>6</v>
      </c>
      <c r="E5" s="61" t="str">
        <f>IF(A5&gt;'Time Trial'!$C$48,"",VLOOKUP(A5,'Time Trial'!$C$5:$O$46,2))</f>
        <v>LSRA</v>
      </c>
      <c r="F5" s="61" t="str">
        <f>IF(A5&gt;'Time Trial'!$C$48,"",VLOOKUP(A5,'Time Trial'!$C$5:$O$46,4))</f>
        <v>4x</v>
      </c>
      <c r="G5" s="61">
        <f>(IF(A5&gt;'Time Trial'!$C$48,"",VLOOKUP(A5,'Time Trial'!$C$5:$O$46,5)))</f>
        <v>10</v>
      </c>
      <c r="H5" s="61" t="str">
        <f>(IF(A5&gt;'Time Trial'!$C$48,"",VLOOKUP(A5,'Time Trial'!$C$5:$O$46,6)))</f>
        <v>M</v>
      </c>
      <c r="I5" s="134">
        <f>IF(H5="","",IF(H5="M",VLOOKUP(F5,$X$24:$Z$31,2)*VLOOKUP(G5,$AB$3:$AD$19,3),IF(H5="F",VLOOKUP(F5,$X$24:$Z$31,3)*VLOOKUP(G5,$AB$3:$AD$19,3))))</f>
        <v>1145.8729788186558</v>
      </c>
      <c r="J5" s="135" t="str">
        <f>IF(OR(I5="",I6="")=TRUE,"",IF(I5-I6&lt;=0,"",I5-I6))</f>
        <v/>
      </c>
      <c r="K5" s="131" t="str">
        <f>IF(J5="","",IF(J5=0,"","head start"))</f>
        <v/>
      </c>
      <c r="L5" s="128"/>
      <c r="X5" t="str">
        <f>'Time Trial'!Y7</f>
        <v>2x</v>
      </c>
      <c r="Y5" s="56">
        <f>'Time Trial'!Z7</f>
        <v>372.26429481118606</v>
      </c>
      <c r="Z5" s="56">
        <f>'Time Trial'!AA7</f>
        <v>414.13570518881397</v>
      </c>
      <c r="AA5" s="56"/>
      <c r="AB5" s="26">
        <f>'Base Data'!K43</f>
        <v>9</v>
      </c>
      <c r="AC5" s="86">
        <f>'Base Data'!N43</f>
        <v>0.91814718728448996</v>
      </c>
      <c r="AD5" s="86">
        <f>'Base Data'!O43</f>
        <v>1.0891499901639929</v>
      </c>
    </row>
    <row r="6" spans="1:30" x14ac:dyDescent="0.25">
      <c r="A6" s="61">
        <v>4</v>
      </c>
      <c r="B6" s="183"/>
      <c r="C6" s="190"/>
      <c r="D6" s="122">
        <f>IF(A6&gt;'Time Trial'!$C$48,"",VLOOKUP(A6,'Time Trial'!$C$5:$O$46,3))</f>
        <v>1</v>
      </c>
      <c r="E6" s="61" t="str">
        <f>IF(A6&gt;'Time Trial'!$C$48,"",VLOOKUP(A6,'Time Trial'!$C$5:$O$46,2))</f>
        <v>Windermere</v>
      </c>
      <c r="F6" s="61" t="str">
        <f>IF(A6&gt;'Time Trial'!$C$48,"",VLOOKUP(A6,'Time Trial'!$C$5:$O$46,4))</f>
        <v>2x</v>
      </c>
      <c r="G6" s="61" t="str">
        <f>(IF(A6&gt;'Time Trial'!$C$48,"",VLOOKUP(A6,'Time Trial'!$C$5:$O$46,5)))</f>
        <v>E</v>
      </c>
      <c r="H6" s="61" t="str">
        <f>(IF(A6&gt;'Time Trial'!$C$48,"",VLOOKUP(A6,'Time Trial'!$C$5:$O$46,6)))</f>
        <v>M</v>
      </c>
      <c r="I6" s="134">
        <f>IF(H6="","",IF(H6="M",VLOOKUP(F6,$X$24:$Z$31,2)*VLOOKUP(G6,$AB$3:$AD$19,3),IF(H6="F",VLOOKUP(F6,$X$24:$Z$31,3)*VLOOKUP(G6,$AB$3:$AD$19,3))))</f>
        <v>1226.568549774895</v>
      </c>
      <c r="J6" s="139">
        <f>IF(OR(I5="",I6="")=TRUE,"",IF(I6-I5&lt;=0,"",I6-I5))</f>
        <v>80.69557095623918</v>
      </c>
      <c r="K6" s="140" t="str">
        <f t="shared" ref="K6:K14" si="0">IF(J6="","",IF(J6=0,"","head start"))</f>
        <v>head start</v>
      </c>
      <c r="L6" s="129"/>
      <c r="X6" t="str">
        <f>'Time Trial'!Y8</f>
        <v>4-</v>
      </c>
      <c r="Y6" s="56">
        <f>'Time Trial'!Z8</f>
        <v>354.65464098746264</v>
      </c>
      <c r="Z6" s="56">
        <f>'Time Trial'!AA8</f>
        <v>394.54535901253746</v>
      </c>
      <c r="AA6" s="56"/>
      <c r="AB6" s="26">
        <f>'Base Data'!K44</f>
        <v>10</v>
      </c>
      <c r="AC6" s="86">
        <f>'Base Data'!N44</f>
        <v>0.93948474598535348</v>
      </c>
      <c r="AD6" s="86">
        <f>'Base Data'!O44</f>
        <v>1.0644132374402488</v>
      </c>
    </row>
    <row r="7" spans="1:30" x14ac:dyDescent="0.25">
      <c r="A7" s="61">
        <v>2</v>
      </c>
      <c r="B7" s="183"/>
      <c r="C7" s="189">
        <f>IF(AND(NOT(D7="")=TRUE,NOT(D8="")=TRUE)=TRUE,MAX(C5)+1,"")</f>
        <v>2</v>
      </c>
      <c r="D7" s="121">
        <f>IF(A7&gt;'Time Trial'!$C$48,"",VLOOKUP(A7,'Time Trial'!$C$5:$O$46,3))</f>
        <v>6</v>
      </c>
      <c r="E7" s="61" t="str">
        <f>IF(A7&gt;'Time Trial'!$C$48,"",VLOOKUP(A7,'Time Trial'!$C$5:$O$46,2))</f>
        <v>LSRA</v>
      </c>
      <c r="F7" s="61" t="str">
        <f>IF(A7&gt;'Time Trial'!$C$48,"",VLOOKUP(A7,'Time Trial'!$C$5:$O$46,4))</f>
        <v>4x</v>
      </c>
      <c r="G7" s="61">
        <f>(IF(A7&gt;'Time Trial'!$C$48,"",VLOOKUP(A7,'Time Trial'!$C$5:$O$46,5)))</f>
        <v>10</v>
      </c>
      <c r="H7" s="61" t="str">
        <f>(IF(A7&gt;'Time Trial'!$C$48,"",VLOOKUP(A7,'Time Trial'!$C$5:$O$46,6)))</f>
        <v>M</v>
      </c>
      <c r="I7" s="134">
        <f>IF(H7="","",IF(H7="M",VLOOKUP(F7,$X$24:$Z$31,2)*VLOOKUP(G7,$AB$3:$AD$19,3),IF(H7="F",VLOOKUP(F7,$X$24:$Z$31,3)*VLOOKUP(G7,$AB$3:$AD$19,3))))</f>
        <v>1145.8729788186558</v>
      </c>
      <c r="J7" s="138" t="str">
        <f>IF(OR(I7="",I8="")=TRUE,"",IF(I7-I8&lt;=0,"",I7-I8))</f>
        <v/>
      </c>
      <c r="K7" s="132" t="str">
        <f t="shared" si="0"/>
        <v/>
      </c>
      <c r="L7" s="128"/>
      <c r="X7" t="str">
        <f>'Time Trial'!Y9</f>
        <v>4+</v>
      </c>
      <c r="Y7" s="56">
        <f>'Time Trial'!Z9</f>
        <v>367.71986801796709</v>
      </c>
      <c r="Z7" s="56">
        <f>'Time Trial'!AA9</f>
        <v>409.08013198203292</v>
      </c>
      <c r="AA7" s="56"/>
      <c r="AB7" s="26">
        <f>'Base Data'!K45</f>
        <v>11</v>
      </c>
      <c r="AC7" s="86">
        <f>'Base Data'!N45</f>
        <v>0.95555893074119069</v>
      </c>
      <c r="AD7" s="86">
        <f>'Base Data'!O45</f>
        <v>1.0465079314619958</v>
      </c>
    </row>
    <row r="8" spans="1:30" x14ac:dyDescent="0.25">
      <c r="A8" s="61">
        <v>3</v>
      </c>
      <c r="B8" s="184"/>
      <c r="C8" s="190"/>
      <c r="D8" s="122">
        <f>IF(A8&gt;'Time Trial'!$C$48,"",VLOOKUP(A8,'Time Trial'!$C$5:$O$46,3))</f>
        <v>3</v>
      </c>
      <c r="E8" s="61" t="str">
        <f>IF(A8&gt;'Time Trial'!$C$48,"",VLOOKUP(A8,'Time Trial'!$C$5:$O$46,2))</f>
        <v>JOG</v>
      </c>
      <c r="F8" s="61" t="str">
        <f>IF(A8&gt;'Time Trial'!$C$48,"",VLOOKUP(A8,'Time Trial'!$C$5:$O$46,4))</f>
        <v>1x</v>
      </c>
      <c r="G8" s="61" t="str">
        <f>(IF(A8&gt;'Time Trial'!$C$48,"",VLOOKUP(A8,'Time Trial'!$C$5:$O$46,5)))</f>
        <v>D</v>
      </c>
      <c r="H8" s="61" t="str">
        <f>(IF(A8&gt;'Time Trial'!$C$48,"",VLOOKUP(A8,'Time Trial'!$C$5:$O$46,6)))</f>
        <v>F</v>
      </c>
      <c r="I8" s="134">
        <f>IF(H8="","",IF(H8="M",VLOOKUP(F8,$X$24:$Z$31,2)*VLOOKUP(G8,$AB$3:$AD$19,3),IF(H8="F",VLOOKUP(F8,$X$24:$Z$31,3)*VLOOKUP(G8,$AB$3:$AD$19,3))))</f>
        <v>1437.9689836774655</v>
      </c>
      <c r="J8" s="138">
        <f>IF(OR(I7="",I8="")=TRUE,"",IF(I8-I7&lt;=0,"",I8-I7))</f>
        <v>292.09600485880969</v>
      </c>
      <c r="K8" s="132" t="str">
        <f t="shared" si="0"/>
        <v>head start</v>
      </c>
      <c r="L8" s="129"/>
      <c r="X8" t="str">
        <f>'Time Trial'!Y10</f>
        <v>4x</v>
      </c>
      <c r="Y8" s="56">
        <f>'Time Trial'!Z10</f>
        <v>347.45929856486595</v>
      </c>
      <c r="Z8" s="56">
        <f>'Time Trial'!AA10</f>
        <v>386.54070143513411</v>
      </c>
      <c r="AA8" s="56"/>
      <c r="AB8" s="26">
        <f>'Base Data'!K46</f>
        <v>12</v>
      </c>
      <c r="AC8" s="86">
        <f>'Base Data'!N46</f>
        <v>0.96528521230829867</v>
      </c>
      <c r="AD8" s="86">
        <f>'Base Data'!O46</f>
        <v>1.0359632440744506</v>
      </c>
    </row>
    <row r="9" spans="1:30" s="9" customFormat="1" x14ac:dyDescent="0.25">
      <c r="A9" s="124"/>
      <c r="B9" s="124"/>
      <c r="C9" s="106"/>
      <c r="D9" s="123"/>
      <c r="E9" s="126"/>
      <c r="F9" s="124"/>
      <c r="G9" s="124"/>
      <c r="H9" s="124"/>
      <c r="I9" s="58"/>
      <c r="J9" s="100"/>
      <c r="K9" s="100"/>
      <c r="L9" s="98"/>
      <c r="X9" t="str">
        <f>'Time Trial'!Y11</f>
        <v>4x+</v>
      </c>
      <c r="Y9" s="56">
        <f>'Time Trial'!Z11</f>
        <v>362.51271231740367</v>
      </c>
      <c r="Z9" s="56">
        <f>'Time Trial'!AA11</f>
        <v>403.28728768259629</v>
      </c>
      <c r="AA9" s="58"/>
      <c r="AB9" s="26">
        <f>'Base Data'!K47</f>
        <v>13</v>
      </c>
      <c r="AC9" s="86">
        <f>'Base Data'!N47</f>
        <v>0.97386456930806875</v>
      </c>
      <c r="AD9" s="86">
        <f>'Base Data'!O47</f>
        <v>1.0268368226092264</v>
      </c>
    </row>
    <row r="10" spans="1:30" s="9" customFormat="1" x14ac:dyDescent="0.25">
      <c r="A10" s="26" t="s">
        <v>40</v>
      </c>
      <c r="B10" s="26" t="s">
        <v>41</v>
      </c>
      <c r="C10" s="160" t="s">
        <v>42</v>
      </c>
      <c r="D10" s="99" t="s">
        <v>43</v>
      </c>
      <c r="E10" s="87" t="s">
        <v>5</v>
      </c>
      <c r="F10" s="61" t="s">
        <v>44</v>
      </c>
      <c r="G10" s="61" t="s">
        <v>8</v>
      </c>
      <c r="H10" s="61" t="s">
        <v>9</v>
      </c>
      <c r="I10" s="161"/>
      <c r="J10" s="187" t="s">
        <v>15</v>
      </c>
      <c r="K10" s="188"/>
      <c r="L10" s="178" t="s">
        <v>45</v>
      </c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t="str">
        <f>'Time Trial'!Y12</f>
        <v>8+</v>
      </c>
      <c r="Y10" s="56">
        <f>'Time Trial'!Z12</f>
        <v>329.47094250837421</v>
      </c>
      <c r="Z10" s="56">
        <f>'Time Trial'!AA12</f>
        <v>366.52905749162579</v>
      </c>
      <c r="AA10" s="162"/>
      <c r="AB10" s="26" t="str">
        <f>'Base Data'!K48</f>
        <v>A</v>
      </c>
      <c r="AC10" s="86">
        <f>'Base Data'!N48</f>
        <v>1</v>
      </c>
      <c r="AD10" s="86">
        <f>'Base Data'!O48</f>
        <v>1</v>
      </c>
    </row>
    <row r="11" spans="1:30" x14ac:dyDescent="0.25">
      <c r="A11" s="61">
        <v>5</v>
      </c>
      <c r="B11" s="182" t="str">
        <f>IF(COUNTIF(C11:C14,"")=0,"","5th to 8th")</f>
        <v>5th to 8th</v>
      </c>
      <c r="C11" s="189">
        <f>IF(AND(NOT(D11="")=TRUE,NOT(D12="")=TRUE)=TRUE,MAX(C5:C8)+1,"")</f>
        <v>3</v>
      </c>
      <c r="D11" s="121">
        <f>IF(A11&gt;'Time Trial'!$C$48,"",VLOOKUP(A11,'Time Trial'!$C$5:$O$46,3))</f>
        <v>2</v>
      </c>
      <c r="E11" s="61" t="str">
        <f>IF(A11&gt;'Time Trial'!$C$48,"",VLOOKUP(A11,'Time Trial'!$C$5:$O$46,2))</f>
        <v>JOG</v>
      </c>
      <c r="F11" s="61" t="str">
        <f>IF(A11&gt;'Time Trial'!$C$48,"",VLOOKUP(A11,'Time Trial'!$C$5:$O$46,4))</f>
        <v>2x</v>
      </c>
      <c r="G11" s="61" t="str">
        <f>(IF(A11&gt;'Time Trial'!$C$48,"",VLOOKUP(A11,'Time Trial'!$C$5:$O$46,5)))</f>
        <v>C</v>
      </c>
      <c r="H11" s="61" t="str">
        <f>(IF(A11&gt;'Time Trial'!$C$48,"",VLOOKUP(A11,'Time Trial'!$C$5:$O$46,6)))</f>
        <v>F</v>
      </c>
      <c r="I11" s="134">
        <f>IF(H11="","",IF(H11="M",VLOOKUP(F11,$X$24:$Z$31,2)*VLOOKUP(G11,$AB$3:$AD$19,3),IF(H11="F",VLOOKUP(F11,$X$24:$Z$31,3)*VLOOKUP(G11,$AB$3:$AD$19,3))))</f>
        <v>1314.6650891453546</v>
      </c>
      <c r="J11" s="141">
        <f>IF(OR(I11="",I12="")=TRUE,"",IF(I11-I12&lt;=0,"",I11-I12))</f>
        <v>67.160407901354574</v>
      </c>
      <c r="K11" s="140" t="str">
        <f t="shared" si="0"/>
        <v>head start</v>
      </c>
      <c r="L11" s="128"/>
      <c r="Y11" s="56"/>
      <c r="Z11" s="56"/>
      <c r="AA11" s="56"/>
      <c r="AB11" s="26" t="str">
        <f>'Base Data'!K49</f>
        <v>B</v>
      </c>
      <c r="AC11" s="86">
        <f>'Base Data'!N49</f>
        <v>0.98933333333333329</v>
      </c>
      <c r="AD11" s="86">
        <f>'Base Data'!O49</f>
        <v>1.0107816711590296</v>
      </c>
    </row>
    <row r="12" spans="1:30" x14ac:dyDescent="0.25">
      <c r="A12" s="61">
        <v>8</v>
      </c>
      <c r="B12" s="183"/>
      <c r="C12" s="190"/>
      <c r="D12" s="122">
        <f>IF(A12&gt;'Time Trial'!$C$48,"",VLOOKUP(A12,'Time Trial'!$C$5:$O$46,3))</f>
        <v>8</v>
      </c>
      <c r="E12" s="61" t="str">
        <f>IF(A12&gt;'Time Trial'!$C$48,"",VLOOKUP(A12,'Time Trial'!$C$5:$O$46,2))</f>
        <v>JOG</v>
      </c>
      <c r="F12" s="61" t="str">
        <f>IF(A12&gt;'Time Trial'!$C$48,"",VLOOKUP(A12,'Time Trial'!$C$5:$O$46,4))</f>
        <v>4x+</v>
      </c>
      <c r="G12" s="61" t="str">
        <f>(IF(A12&gt;'Time Trial'!$C$48,"",VLOOKUP(A12,'Time Trial'!$C$5:$O$46,5)))</f>
        <v>G</v>
      </c>
      <c r="H12" s="61" t="str">
        <f>(IF(A12&gt;'Time Trial'!$C$48,"",VLOOKUP(A12,'Time Trial'!$C$5:$O$46,6)))</f>
        <v>M</v>
      </c>
      <c r="I12" s="134">
        <f>IF(H12="","",IF(H12="M",VLOOKUP(F12,$X$24:$Z$31,2)*VLOOKUP(G12,$AB$3:$AD$19,3),IF(H12="F",VLOOKUP(F12,$X$24:$Z$31,3)*VLOOKUP(G12,$AB$3:$AD$19,3))))</f>
        <v>1247.504681244</v>
      </c>
      <c r="J12" s="136" t="str">
        <f>IF(OR(I11="",I12="")=TRUE,"",IF(I12-I11&lt;=0,"",I12-I11))</f>
        <v/>
      </c>
      <c r="K12" s="137" t="str">
        <f t="shared" si="0"/>
        <v/>
      </c>
      <c r="L12" s="129"/>
      <c r="X12" t="str">
        <f>'Time Trial'!Y14</f>
        <v>1x</v>
      </c>
      <c r="Y12">
        <f>'Time Trial'!Z14</f>
        <v>970.96903155658924</v>
      </c>
      <c r="Z12">
        <f>'Time Trial'!AA14</f>
        <v>1080.1813394543819</v>
      </c>
      <c r="AA12" s="56"/>
      <c r="AB12" s="26" t="str">
        <f>'Base Data'!K50</f>
        <v>C</v>
      </c>
      <c r="AC12" s="86">
        <f>'Base Data'!N50</f>
        <v>0.97599999999999998</v>
      </c>
      <c r="AD12" s="86">
        <f>'Base Data'!O50</f>
        <v>1.0245901639344261</v>
      </c>
    </row>
    <row r="13" spans="1:30" x14ac:dyDescent="0.25">
      <c r="A13" s="61">
        <v>6</v>
      </c>
      <c r="B13" s="183"/>
      <c r="C13" s="189">
        <f>IF(AND(NOT(D13="")=TRUE,NOT(D14="")=TRUE)=TRUE,MAX(C5:C12)+1,"")</f>
        <v>4</v>
      </c>
      <c r="D13" s="121">
        <f>IF(A13&gt;'Time Trial'!$C$48,"",VLOOKUP(A13,'Time Trial'!$C$5:$O$46,3))</f>
        <v>7</v>
      </c>
      <c r="E13" s="61" t="str">
        <f>IF(A13&gt;'Time Trial'!$C$48,"",VLOOKUP(A13,'Time Trial'!$C$5:$O$46,2))</f>
        <v>JOG</v>
      </c>
      <c r="F13" s="61" t="str">
        <f>IF(A13&gt;'Time Trial'!$C$48,"",VLOOKUP(A13,'Time Trial'!$C$5:$O$46,4))</f>
        <v>4+</v>
      </c>
      <c r="G13" s="61" t="str">
        <f>(IF(A13&gt;'Time Trial'!$C$48,"",VLOOKUP(A13,'Time Trial'!$C$5:$O$46,5)))</f>
        <v>C</v>
      </c>
      <c r="H13" s="61" t="str">
        <f>(IF(A13&gt;'Time Trial'!$C$48,"",VLOOKUP(A13,'Time Trial'!$C$5:$O$46,6)))</f>
        <v>F</v>
      </c>
      <c r="I13" s="134">
        <f>IF(H13="","",IF(H13="M",VLOOKUP(F13,$X$24:$Z$31,2)*VLOOKUP(G13,$AB$3:$AD$19,3),IF(H13="F",VLOOKUP(F13,$X$24:$Z$31,3)*VLOOKUP(G13,$AB$3:$AD$19,3))))</f>
        <v>1298.6162782910878</v>
      </c>
      <c r="J13" s="139">
        <f>IF(OR(I13="",I14="")=TRUE,"",IF(I13-I14&lt;=0,"",I13-I14))</f>
        <v>51.111597047087798</v>
      </c>
      <c r="K13" s="140" t="str">
        <f t="shared" si="0"/>
        <v>head start</v>
      </c>
      <c r="L13" s="128"/>
      <c r="X13" t="str">
        <f>'Time Trial'!Y15</f>
        <v>2-</v>
      </c>
      <c r="Y13">
        <f>'Time Trial'!Z15</f>
        <v>941.74792563059714</v>
      </c>
      <c r="Z13">
        <f>'Time Trial'!AA15</f>
        <v>1047.6735124139302</v>
      </c>
      <c r="AB13" s="26" t="str">
        <f>'Base Data'!K51</f>
        <v>D</v>
      </c>
      <c r="AC13" s="86">
        <f>'Base Data'!N51</f>
        <v>0.95766666666666667</v>
      </c>
      <c r="AD13" s="86">
        <f>'Base Data'!O51</f>
        <v>1.0442046641141665</v>
      </c>
    </row>
    <row r="14" spans="1:30" x14ac:dyDescent="0.25">
      <c r="A14" s="61">
        <v>7</v>
      </c>
      <c r="B14" s="184"/>
      <c r="C14" s="190"/>
      <c r="D14" s="122">
        <f>IF(A14&gt;'Time Trial'!$C$48,"",VLOOKUP(A14,'Time Trial'!$C$5:$O$46,3))</f>
        <v>5</v>
      </c>
      <c r="E14" s="61" t="str">
        <f>IF(A14&gt;'Time Trial'!$C$48,"",VLOOKUP(A14,'Time Trial'!$C$5:$O$46,2))</f>
        <v>Windermere</v>
      </c>
      <c r="F14" s="61" t="str">
        <f>IF(A14&gt;'Time Trial'!$C$48,"",VLOOKUP(A14,'Time Trial'!$C$5:$O$46,4))</f>
        <v>4x+</v>
      </c>
      <c r="G14" s="61" t="str">
        <f>(IF(A14&gt;'Time Trial'!$C$48,"",VLOOKUP(A14,'Time Trial'!$C$5:$O$46,5)))</f>
        <v>G</v>
      </c>
      <c r="H14" s="61" t="str">
        <f>(IF(A14&gt;'Time Trial'!$C$48,"",VLOOKUP(A14,'Time Trial'!$C$5:$O$46,6)))</f>
        <v>M</v>
      </c>
      <c r="I14" s="134">
        <f>IF(H14="","",IF(H14="M",VLOOKUP(F14,$X$24:$Z$31,2)*VLOOKUP(G14,$AB$3:$AD$19,3),IF(H14="F",VLOOKUP(F14,$X$24:$Z$31,3)*VLOOKUP(G14,$AB$3:$AD$19,3))))</f>
        <v>1247.504681244</v>
      </c>
      <c r="J14" s="138" t="str">
        <f>IF(OR(I13="",I14="")=TRUE,"",IF(I14-I13&lt;=0,"",I14-I13))</f>
        <v/>
      </c>
      <c r="K14" s="132" t="str">
        <f t="shared" si="0"/>
        <v/>
      </c>
      <c r="L14" s="129"/>
      <c r="X14" t="str">
        <f>'Time Trial'!Y16</f>
        <v>2x</v>
      </c>
      <c r="Y14">
        <f>'Time Trial'!Z16</f>
        <v>904.70384646457558</v>
      </c>
      <c r="Z14">
        <f>'Time Trial'!AA16</f>
        <v>1006.4628025437511</v>
      </c>
      <c r="AB14" s="26" t="str">
        <f>'Base Data'!K52</f>
        <v>E</v>
      </c>
      <c r="AC14" s="86">
        <f>'Base Data'!N52</f>
        <v>0.94033333333333335</v>
      </c>
      <c r="AD14" s="86">
        <f>'Base Data'!O52</f>
        <v>1.0634526763559022</v>
      </c>
    </row>
    <row r="15" spans="1:30" x14ac:dyDescent="0.25">
      <c r="A15" s="124"/>
      <c r="B15" s="124"/>
      <c r="C15" s="106"/>
      <c r="D15" s="123"/>
      <c r="E15" s="126"/>
      <c r="F15" s="124"/>
      <c r="G15" s="124"/>
      <c r="H15" s="124"/>
      <c r="I15" s="56"/>
      <c r="J15" s="101"/>
      <c r="K15" s="101"/>
      <c r="L15" s="179"/>
      <c r="X15" t="str">
        <f>'Time Trial'!Y17</f>
        <v>4-</v>
      </c>
      <c r="Y15">
        <f>'Time Trial'!Z17</f>
        <v>861.90758109265016</v>
      </c>
      <c r="Z15">
        <f>'Time Trial'!AA17</f>
        <v>958.85291412230208</v>
      </c>
      <c r="AB15" s="26" t="str">
        <f>'Base Data'!K53</f>
        <v>F</v>
      </c>
      <c r="AC15" s="86">
        <f>'Base Data'!N53</f>
        <v>0.92100000000000004</v>
      </c>
      <c r="AD15" s="86">
        <f>'Base Data'!O53</f>
        <v>1.0857763300760044</v>
      </c>
    </row>
    <row r="16" spans="1:30" x14ac:dyDescent="0.25">
      <c r="A16" s="26" t="s">
        <v>40</v>
      </c>
      <c r="B16" s="26" t="s">
        <v>41</v>
      </c>
      <c r="C16" s="105" t="s">
        <v>42</v>
      </c>
      <c r="D16" s="99" t="s">
        <v>43</v>
      </c>
      <c r="E16" s="87" t="s">
        <v>5</v>
      </c>
      <c r="F16" s="61" t="s">
        <v>44</v>
      </c>
      <c r="G16" s="61" t="s">
        <v>8</v>
      </c>
      <c r="H16" s="61" t="s">
        <v>9</v>
      </c>
      <c r="I16" s="61"/>
      <c r="J16" s="187" t="s">
        <v>15</v>
      </c>
      <c r="K16" s="194"/>
      <c r="L16" s="81" t="s">
        <v>45</v>
      </c>
      <c r="X16" t="str">
        <f>'Time Trial'!Y18</f>
        <v>4+</v>
      </c>
      <c r="Y16">
        <f>'Time Trial'!Z18</f>
        <v>893.65964894923991</v>
      </c>
      <c r="Z16">
        <f>'Time Trial'!AA18</f>
        <v>994.17637972531259</v>
      </c>
      <c r="AB16" s="26" t="str">
        <f>'Base Data'!K54</f>
        <v>G</v>
      </c>
      <c r="AC16" s="86">
        <f>'Base Data'!N54</f>
        <v>0.90033333333333332</v>
      </c>
      <c r="AD16" s="86">
        <f>'Base Data'!O54</f>
        <v>1.1106997408367272</v>
      </c>
    </row>
    <row r="17" spans="1:30" ht="14.1" customHeight="1" x14ac:dyDescent="0.25">
      <c r="A17" s="61">
        <f>A5+8</f>
        <v>9</v>
      </c>
      <c r="B17" s="182" t="str">
        <f>IF(COUNTIF(C17:C20,"")=0,"","9th to 12th")</f>
        <v>9th to 12th</v>
      </c>
      <c r="C17" s="189" t="str">
        <f>IF(AND(NOT(D17="")=TRUE,NOT(D18="")=TRUE)=TRUE,MAX(C5:C14)+1,"")</f>
        <v/>
      </c>
      <c r="D17" s="121" t="str">
        <f>IF(A17&gt;'Time Trial'!$C$48,"",VLOOKUP(A17,'Time Trial'!$C$5:$O$46,3))</f>
        <v/>
      </c>
      <c r="E17" s="61" t="str">
        <f>IF(A17&gt;'Time Trial'!$C$48,"",VLOOKUP(A17,'Time Trial'!$C$5:$O$46,2))</f>
        <v/>
      </c>
      <c r="F17" s="61" t="str">
        <f>IF(A17&gt;'Time Trial'!$C$48,"",VLOOKUP(A17,'Time Trial'!$C$5:$O$46,4))</f>
        <v/>
      </c>
      <c r="G17" s="61" t="str">
        <f>(IF(A17&gt;'Time Trial'!$C$48,"",VLOOKUP(A17,'Time Trial'!$C$5:$O$46,5)))</f>
        <v/>
      </c>
      <c r="H17" s="61" t="str">
        <f>(IF(A17&gt;'Time Trial'!$C$48,"",VLOOKUP(A17,'Time Trial'!$C$5:$O$46,6)))</f>
        <v/>
      </c>
      <c r="I17" s="134" t="str">
        <f>IF(H17="","",IF(H17="M",VLOOKUP(F17,$X$24:$Z$31,2)*VLOOKUP(G17,$AB$3:$AD$19,3),IF(H17="F",VLOOKUP(F17,$X$24:$Z$31,3)*VLOOKUP(G17,$AB$3:$AD$19,3))))</f>
        <v/>
      </c>
      <c r="J17" s="135" t="str">
        <f>IF(OR(I17="",I18="")=TRUE,"",IF(I17-I18&lt;=0,"",I17-I18))</f>
        <v/>
      </c>
      <c r="K17" s="131" t="str">
        <f>IF(J17="","",IF(J17=0,"","head start"))</f>
        <v/>
      </c>
      <c r="L17" s="128"/>
      <c r="X17" t="str">
        <f>'Time Trial'!Y19</f>
        <v>4x</v>
      </c>
      <c r="Y17">
        <f>'Time Trial'!Z19</f>
        <v>844.42093502670207</v>
      </c>
      <c r="Z17">
        <f>'Time Trial'!AA19</f>
        <v>939.39941132644117</v>
      </c>
      <c r="AB17" s="26" t="str">
        <f>'Base Data'!K55</f>
        <v>H</v>
      </c>
      <c r="AC17" s="86">
        <f>'Base Data'!N55</f>
        <v>0.8743333333333333</v>
      </c>
      <c r="AD17" s="86">
        <f>'Base Data'!O55</f>
        <v>1.1437285550895921</v>
      </c>
    </row>
    <row r="18" spans="1:30" x14ac:dyDescent="0.25">
      <c r="A18" s="61">
        <f>A6+8</f>
        <v>12</v>
      </c>
      <c r="B18" s="183"/>
      <c r="C18" s="190"/>
      <c r="D18" s="122" t="str">
        <f>IF(A18&gt;'Time Trial'!$C$48,"",VLOOKUP(A18,'Time Trial'!$C$5:$O$46,3))</f>
        <v/>
      </c>
      <c r="E18" s="61" t="str">
        <f>IF(A18&gt;'Time Trial'!$C$48,"",VLOOKUP(A18,'Time Trial'!$C$5:$O$46,2))</f>
        <v/>
      </c>
      <c r="F18" s="61" t="str">
        <f>IF(A18&gt;'Time Trial'!$C$48,"",VLOOKUP(A18,'Time Trial'!$C$5:$O$46,4))</f>
        <v/>
      </c>
      <c r="G18" s="61" t="str">
        <f>(IF(A18&gt;'Time Trial'!$C$48,"",VLOOKUP(A18,'Time Trial'!$C$5:$O$46,5)))</f>
        <v/>
      </c>
      <c r="H18" s="61" t="str">
        <f>(IF(A18&gt;'Time Trial'!$C$48,"",VLOOKUP(A18,'Time Trial'!$C$5:$O$46,6)))</f>
        <v/>
      </c>
      <c r="I18" s="134" t="str">
        <f>IF(H18="","",IF(H18="M",VLOOKUP(F18,$X$24:$Z$31,2)*VLOOKUP(G18,$AB$3:$AD$19,3),IF(H18="F",VLOOKUP(F18,$X$24:$Z$31,3)*VLOOKUP(G18,$AB$3:$AD$19,3))))</f>
        <v/>
      </c>
      <c r="J18" s="139" t="str">
        <f>IF(OR(I17="",I18="")=TRUE,"",IF(I18-I17&lt;=0,"",I18-I17))</f>
        <v/>
      </c>
      <c r="K18" s="140" t="str">
        <f t="shared" ref="K18:K26" si="1">IF(J18="","",IF(J18=0,"","head start"))</f>
        <v/>
      </c>
      <c r="L18" s="129"/>
      <c r="X18" t="str">
        <f>'Time Trial'!Y20</f>
        <v>4x+</v>
      </c>
      <c r="Y18">
        <f>'Time Trial'!Z20</f>
        <v>881.00483929625113</v>
      </c>
      <c r="Z18">
        <f>'Time Trial'!AA20</f>
        <v>980.09818691251849</v>
      </c>
      <c r="AB18" s="26" t="str">
        <f>'Base Data'!K56</f>
        <v>I</v>
      </c>
      <c r="AC18" s="86">
        <f>'Base Data'!N56</f>
        <v>0.84699999999999998</v>
      </c>
      <c r="AD18" s="86">
        <f>'Base Data'!O56</f>
        <v>1.1806375442739079</v>
      </c>
    </row>
    <row r="19" spans="1:30" x14ac:dyDescent="0.25">
      <c r="A19" s="61">
        <f>A7+8</f>
        <v>10</v>
      </c>
      <c r="B19" s="183"/>
      <c r="C19" s="189" t="str">
        <f>IF(AND(NOT(D19="")=TRUE,NOT(D20="")=TRUE)=TRUE,MAX(C5:C18)+1,"")</f>
        <v/>
      </c>
      <c r="D19" s="121" t="str">
        <f>IF(A19&gt;'Time Trial'!$C$48,"",VLOOKUP(A19,'Time Trial'!$C$5:$O$46,3))</f>
        <v/>
      </c>
      <c r="E19" s="61" t="str">
        <f>IF(A19&gt;'Time Trial'!$C$48,"",VLOOKUP(A19,'Time Trial'!$C$5:$O$46,2))</f>
        <v/>
      </c>
      <c r="F19" s="61" t="str">
        <f>IF(A19&gt;'Time Trial'!$C$48,"",VLOOKUP(A19,'Time Trial'!$C$5:$O$46,4))</f>
        <v/>
      </c>
      <c r="G19" s="61" t="str">
        <f>(IF(A19&gt;'Time Trial'!$C$48,"",VLOOKUP(A19,'Time Trial'!$C$5:$O$46,5)))</f>
        <v/>
      </c>
      <c r="H19" s="61" t="str">
        <f>(IF(A19&gt;'Time Trial'!$C$48,"",VLOOKUP(A19,'Time Trial'!$C$5:$O$46,6)))</f>
        <v/>
      </c>
      <c r="I19" s="134" t="str">
        <f>IF(H19="","",IF(H19="M",VLOOKUP(F19,$X$24:$Z$31,2)*VLOOKUP(G19,$AB$3:$AD$19,3),IF(H19="F",VLOOKUP(F19,$X$24:$Z$31,3)*VLOOKUP(G19,$AB$3:$AD$19,3))))</f>
        <v/>
      </c>
      <c r="J19" s="139" t="str">
        <f>IF(OR(I19="",I20="")=TRUE,"",IF(I19-I20&lt;=0,"",I19-I20))</f>
        <v/>
      </c>
      <c r="K19" s="140" t="str">
        <f t="shared" si="1"/>
        <v/>
      </c>
      <c r="L19" s="128"/>
      <c r="X19" t="str">
        <f>'Time Trial'!Y21</f>
        <v>8+</v>
      </c>
      <c r="Y19">
        <f>'Time Trial'!Z21</f>
        <v>800.70431986183189</v>
      </c>
      <c r="Z19">
        <f>'Time Trial'!AA21</f>
        <v>890.76565433678888</v>
      </c>
      <c r="AB19" s="26" t="str">
        <f>'Base Data'!K57</f>
        <v>S</v>
      </c>
      <c r="AC19" s="86">
        <f>'Base Data'!N57</f>
        <v>1</v>
      </c>
      <c r="AD19" s="86">
        <f>'Base Data'!O57</f>
        <v>1</v>
      </c>
    </row>
    <row r="20" spans="1:30" x14ac:dyDescent="0.25">
      <c r="A20" s="61">
        <f>A8+8</f>
        <v>11</v>
      </c>
      <c r="B20" s="184"/>
      <c r="C20" s="190"/>
      <c r="D20" s="122" t="str">
        <f>IF(A20&gt;'Time Trial'!$C$48,"",VLOOKUP(A20,'Time Trial'!$C$5:$O$46,3))</f>
        <v/>
      </c>
      <c r="E20" s="61" t="str">
        <f>IF(A20&gt;'Time Trial'!$C$48,"",VLOOKUP(A20,'Time Trial'!$C$5:$O$46,2))</f>
        <v/>
      </c>
      <c r="F20" s="61" t="str">
        <f>IF(A20&gt;'Time Trial'!$C$48,"",VLOOKUP(A20,'Time Trial'!$C$5:$O$46,4))</f>
        <v/>
      </c>
      <c r="G20" s="61" t="str">
        <f>(IF(A20&gt;'Time Trial'!$C$48,"",VLOOKUP(A20,'Time Trial'!$C$5:$O$46,5)))</f>
        <v/>
      </c>
      <c r="H20" s="61" t="str">
        <f>(IF(A20&gt;'Time Trial'!$C$48,"",VLOOKUP(A20,'Time Trial'!$C$5:$O$46,6)))</f>
        <v/>
      </c>
      <c r="I20" s="134" t="str">
        <f>IF(H20="","",IF(H20="M",VLOOKUP(F20,$X$24:$Z$31,2)*VLOOKUP(G20,$AB$3:$AD$19,3),IF(H20="F",VLOOKUP(F20,$X$24:$Z$31,3)*VLOOKUP(G20,$AB$3:$AD$19,3))))</f>
        <v/>
      </c>
      <c r="J20" s="138" t="str">
        <f>IF(OR(I19="",I20="")=TRUE,"",IF(I20-I19&lt;=0,"",I20-I19))</f>
        <v/>
      </c>
      <c r="K20" s="132" t="str">
        <f t="shared" si="1"/>
        <v/>
      </c>
      <c r="L20" s="129"/>
    </row>
    <row r="21" spans="1:30" s="9" customFormat="1" x14ac:dyDescent="0.25">
      <c r="A21" s="124"/>
      <c r="B21" s="124"/>
      <c r="C21" s="106"/>
      <c r="D21" s="123"/>
      <c r="E21" s="126"/>
      <c r="F21" s="124"/>
      <c r="G21" s="124"/>
      <c r="H21" s="124"/>
      <c r="I21" s="58"/>
      <c r="J21" s="100"/>
      <c r="K21" s="100"/>
      <c r="L21" s="98"/>
      <c r="X21"/>
      <c r="Y21"/>
      <c r="Z21"/>
      <c r="AA21" s="58"/>
      <c r="AB21"/>
      <c r="AC21"/>
      <c r="AD21"/>
    </row>
    <row r="22" spans="1:30" s="9" customFormat="1" x14ac:dyDescent="0.25">
      <c r="A22" s="26" t="s">
        <v>40</v>
      </c>
      <c r="B22" s="26" t="s">
        <v>41</v>
      </c>
      <c r="C22" s="160" t="s">
        <v>42</v>
      </c>
      <c r="D22" s="99" t="s">
        <v>43</v>
      </c>
      <c r="E22" s="87" t="s">
        <v>5</v>
      </c>
      <c r="F22" s="61" t="s">
        <v>44</v>
      </c>
      <c r="G22" s="61" t="s">
        <v>8</v>
      </c>
      <c r="H22" s="61" t="s">
        <v>9</v>
      </c>
      <c r="I22" s="161"/>
      <c r="J22" s="187" t="s">
        <v>15</v>
      </c>
      <c r="K22" s="188"/>
      <c r="L22" s="178" t="s">
        <v>45</v>
      </c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/>
      <c r="Y22" s="191" t="str">
        <f>CONCATENATE(D27,"m")</f>
        <v>m</v>
      </c>
      <c r="Z22" s="191"/>
      <c r="AA22" s="162"/>
      <c r="AB22" s="96"/>
      <c r="AC22" s="97"/>
      <c r="AD22" s="97"/>
    </row>
    <row r="23" spans="1:30" x14ac:dyDescent="0.25">
      <c r="A23" s="61">
        <f>A11+8</f>
        <v>13</v>
      </c>
      <c r="B23" s="182" t="str">
        <f>IF(COUNTIF(C23:C26,"")=0,"","13th to 16th")</f>
        <v>13th to 16th</v>
      </c>
      <c r="C23" s="189" t="str">
        <f>IF(AND(NOT(D23="")=TRUE,NOT(D24="")=TRUE)=TRUE,MAX(C5:C20)+1,"")</f>
        <v/>
      </c>
      <c r="D23" s="121" t="str">
        <f>IF(A23&gt;'Time Trial'!$C$48,"",VLOOKUP(A23,'Time Trial'!$C$5:$O$46,3))</f>
        <v/>
      </c>
      <c r="E23" s="61" t="str">
        <f>IF(A23&gt;'Time Trial'!$C$48,"",VLOOKUP(A23,'Time Trial'!$C$5:$O$46,2))</f>
        <v/>
      </c>
      <c r="F23" s="61" t="str">
        <f>IF(A23&gt;'Time Trial'!$C$48,"",VLOOKUP(A23,'Time Trial'!$C$5:$O$46,4))</f>
        <v/>
      </c>
      <c r="G23" s="61" t="str">
        <f>(IF(A23&gt;'Time Trial'!$C$48,"",VLOOKUP(A23,'Time Trial'!$C$5:$O$46,5)))</f>
        <v/>
      </c>
      <c r="H23" s="61" t="str">
        <f>(IF(A23&gt;'Time Trial'!$C$48,"",VLOOKUP(A23,'Time Trial'!$C$5:$O$46,6)))</f>
        <v/>
      </c>
      <c r="I23" s="134" t="str">
        <f>IF(H23="","",IF(H23="M",VLOOKUP(F23,$X$24:$Z$31,2)*VLOOKUP(G23,$AB$3:$AD$19,3),IF(H23="F",VLOOKUP(F23,$X$24:$Z$31,3)*VLOOKUP(G23,$AB$3:$AD$19,3))))</f>
        <v/>
      </c>
      <c r="J23" s="135" t="str">
        <f>IF(OR(I23="",I24="")=TRUE,"",IF(I23-I24&lt;=0,"",I23-I24))</f>
        <v/>
      </c>
      <c r="K23" s="131" t="str">
        <f t="shared" si="1"/>
        <v/>
      </c>
      <c r="L23" s="128"/>
      <c r="Y23" s="179" t="s">
        <v>19</v>
      </c>
      <c r="Z23" s="179" t="s">
        <v>20</v>
      </c>
      <c r="AB23" s="162"/>
      <c r="AC23" s="162"/>
      <c r="AD23" s="162"/>
    </row>
    <row r="24" spans="1:30" x14ac:dyDescent="0.25">
      <c r="A24" s="61">
        <f>A12+8</f>
        <v>16</v>
      </c>
      <c r="B24" s="183"/>
      <c r="C24" s="190"/>
      <c r="D24" s="122" t="str">
        <f>IF(A24&gt;'Time Trial'!$C$48,"",VLOOKUP(A24,'Time Trial'!$C$5:$O$46,3))</f>
        <v/>
      </c>
      <c r="E24" s="61" t="str">
        <f>IF(A24&gt;'Time Trial'!$C$48,"",VLOOKUP(A24,'Time Trial'!$C$5:$O$46,2))</f>
        <v/>
      </c>
      <c r="F24" s="61" t="str">
        <f>IF(A24&gt;'Time Trial'!$C$48,"",VLOOKUP(A24,'Time Trial'!$C$5:$O$46,4))</f>
        <v/>
      </c>
      <c r="G24" s="61" t="str">
        <f>(IF(A24&gt;'Time Trial'!$C$48,"",VLOOKUP(A24,'Time Trial'!$C$5:$O$46,5)))</f>
        <v/>
      </c>
      <c r="H24" s="61" t="str">
        <f>(IF(A24&gt;'Time Trial'!$C$48,"",VLOOKUP(A24,'Time Trial'!$C$5:$O$46,6)))</f>
        <v/>
      </c>
      <c r="I24" s="134" t="str">
        <f>IF(H24="","",IF(H24="M",VLOOKUP(F24,$X$24:$Z$31,2)*VLOOKUP(G24,$AB$3:$AD$19,3),IF(H24="F",VLOOKUP(F24,$X$24:$Z$31,3)*VLOOKUP(G24,$AB$3:$AD$19,3))))</f>
        <v/>
      </c>
      <c r="J24" s="139" t="str">
        <f>IF(OR(I23="",I24="")=TRUE,"",IF(I24-I23&lt;=0,"",I24-I23))</f>
        <v/>
      </c>
      <c r="K24" s="140" t="str">
        <f t="shared" si="1"/>
        <v/>
      </c>
      <c r="L24" s="129"/>
      <c r="X24" t="str">
        <f t="shared" ref="X24:X31" si="2">X3</f>
        <v>1x</v>
      </c>
      <c r="Y24" s="56">
        <f>Y12*'Time Trial'!$T$4</f>
        <v>1237.8630458648024</v>
      </c>
      <c r="Z24" s="56">
        <f>Z12*'Time Trial'!$T$4</f>
        <v>1377.0949633684527</v>
      </c>
    </row>
    <row r="25" spans="1:30" x14ac:dyDescent="0.25">
      <c r="A25" s="61">
        <f>A13+8</f>
        <v>14</v>
      </c>
      <c r="B25" s="183"/>
      <c r="C25" s="189" t="str">
        <f>IF(AND(NOT(D25="")=TRUE,NOT(D26="")=TRUE)=TRUE,MAX(C5:C24)+1,"")</f>
        <v/>
      </c>
      <c r="D25" s="121" t="str">
        <f>IF(A25&gt;'Time Trial'!$C$48,"",VLOOKUP(A25,'Time Trial'!$C$5:$O$46,3))</f>
        <v/>
      </c>
      <c r="E25" s="61" t="str">
        <f>IF(A25&gt;'Time Trial'!$C$48,"",VLOOKUP(A25,'Time Trial'!$C$5:$O$46,2))</f>
        <v/>
      </c>
      <c r="F25" s="61" t="str">
        <f>IF(A25&gt;'Time Trial'!$C$48,"",VLOOKUP(A25,'Time Trial'!$C$5:$O$46,4))</f>
        <v/>
      </c>
      <c r="G25" s="61" t="str">
        <f>(IF(A25&gt;'Time Trial'!$C$48,"",VLOOKUP(A25,'Time Trial'!$C$5:$O$46,5)))</f>
        <v/>
      </c>
      <c r="H25" s="61" t="str">
        <f>(IF(A25&gt;'Time Trial'!$C$48,"",VLOOKUP(A25,'Time Trial'!$C$5:$O$46,6)))</f>
        <v/>
      </c>
      <c r="I25" s="134" t="str">
        <f>IF(H25="","",IF(H25="M",VLOOKUP(F25,$X$24:$Z$31,2)*VLOOKUP(G25,$AB$3:$AD$19,3),IF(H25="F",VLOOKUP(F25,$X$24:$Z$31,3)*VLOOKUP(G25,$AB$3:$AD$19,3))))</f>
        <v/>
      </c>
      <c r="J25" s="139" t="str">
        <f>IF(OR(I25="",I26="")=TRUE,"",IF(I25-I26&lt;=0,"",I25-I26))</f>
        <v/>
      </c>
      <c r="K25" s="140" t="str">
        <f t="shared" si="1"/>
        <v/>
      </c>
      <c r="L25" s="128"/>
      <c r="X25" t="str">
        <f t="shared" si="2"/>
        <v>2-</v>
      </c>
      <c r="Y25" s="56">
        <f>Y13*'Time Trial'!$T$4</f>
        <v>1200.6098214987289</v>
      </c>
      <c r="Z25" s="56">
        <f>Z13*'Time Trial'!$T$4</f>
        <v>1335.6515841391179</v>
      </c>
    </row>
    <row r="26" spans="1:30" x14ac:dyDescent="0.25">
      <c r="A26" s="61">
        <f>A14+8</f>
        <v>15</v>
      </c>
      <c r="B26" s="184"/>
      <c r="C26" s="190"/>
      <c r="D26" s="122" t="str">
        <f>IF(A26&gt;'Time Trial'!$C$48,"",VLOOKUP(A26,'Time Trial'!$C$5:$O$46,3))</f>
        <v/>
      </c>
      <c r="E26" s="61" t="str">
        <f>IF(A26&gt;'Time Trial'!$C$48,"",VLOOKUP(A26,'Time Trial'!$C$5:$O$46,2))</f>
        <v/>
      </c>
      <c r="F26" s="61" t="str">
        <f>IF(A26&gt;'Time Trial'!$C$48,"",VLOOKUP(A26,'Time Trial'!$C$5:$O$46,4))</f>
        <v/>
      </c>
      <c r="G26" s="61" t="str">
        <f>(IF(A26&gt;'Time Trial'!$C$48,"",VLOOKUP(A26,'Time Trial'!$C$5:$O$46,5)))</f>
        <v/>
      </c>
      <c r="H26" s="61" t="str">
        <f>(IF(A26&gt;'Time Trial'!$C$48,"",VLOOKUP(A26,'Time Trial'!$C$5:$O$46,6)))</f>
        <v/>
      </c>
      <c r="I26" s="134" t="str">
        <f>IF(H26="","",IF(H26="M",VLOOKUP(F26,$X$24:$Z$31,2)*VLOOKUP(G26,$AB$3:$AD$19,3),IF(H26="F",VLOOKUP(F26,$X$24:$Z$31,3)*VLOOKUP(G26,$AB$3:$AD$19,3))))</f>
        <v/>
      </c>
      <c r="J26" s="138" t="str">
        <f>IF(OR(I25="",I26="")=TRUE,"",IF(I26-I25&lt;=0,"",I26-I25))</f>
        <v/>
      </c>
      <c r="K26" s="132" t="str">
        <f t="shared" si="1"/>
        <v/>
      </c>
      <c r="L26" s="129"/>
      <c r="X26" t="str">
        <f t="shared" si="2"/>
        <v>2x</v>
      </c>
      <c r="Y26" s="56">
        <f>Y14*'Time Trial'!$T$4</f>
        <v>1153.3832929716596</v>
      </c>
      <c r="Z26" s="56">
        <f>Z14*'Time Trial'!$T$4</f>
        <v>1283.1131270058663</v>
      </c>
    </row>
    <row r="27" spans="1:30" x14ac:dyDescent="0.25">
      <c r="A27" s="124"/>
      <c r="B27" s="124"/>
      <c r="C27" s="106"/>
      <c r="D27" s="123"/>
      <c r="E27" s="126"/>
      <c r="F27" s="124"/>
      <c r="G27" s="124"/>
      <c r="H27" s="124"/>
      <c r="I27" s="56"/>
      <c r="J27" s="101"/>
      <c r="K27" s="101"/>
      <c r="L27" s="179"/>
      <c r="X27" t="str">
        <f t="shared" si="2"/>
        <v>4-</v>
      </c>
      <c r="Y27" s="56">
        <f>Y15*'Time Trial'!$T$4</f>
        <v>1098.8234525615048</v>
      </c>
      <c r="Z27" s="56">
        <f>Z15*'Time Trial'!$T$4</f>
        <v>1222.4165243550294</v>
      </c>
    </row>
    <row r="28" spans="1:30" x14ac:dyDescent="0.25">
      <c r="A28" s="26" t="s">
        <v>40</v>
      </c>
      <c r="B28" s="26" t="s">
        <v>41</v>
      </c>
      <c r="C28" s="105" t="s">
        <v>42</v>
      </c>
      <c r="D28" s="99" t="s">
        <v>43</v>
      </c>
      <c r="E28" s="87" t="s">
        <v>5</v>
      </c>
      <c r="F28" s="61" t="s">
        <v>44</v>
      </c>
      <c r="G28" s="61" t="s">
        <v>8</v>
      </c>
      <c r="H28" s="61" t="s">
        <v>9</v>
      </c>
      <c r="I28" s="61"/>
      <c r="J28" s="187" t="s">
        <v>15</v>
      </c>
      <c r="K28" s="194"/>
      <c r="L28" s="81" t="s">
        <v>45</v>
      </c>
      <c r="X28" t="str">
        <f t="shared" si="2"/>
        <v>4+</v>
      </c>
      <c r="Y28" s="56">
        <f>Y16*'Time Trial'!$T$4</f>
        <v>1139.3033341561356</v>
      </c>
      <c r="Z28" s="56">
        <f>Z16*'Time Trial'!$T$4</f>
        <v>1267.4494876121018</v>
      </c>
    </row>
    <row r="29" spans="1:30" ht="14.1" customHeight="1" x14ac:dyDescent="0.25">
      <c r="A29" s="61">
        <f>A17+8</f>
        <v>17</v>
      </c>
      <c r="B29" s="182" t="str">
        <f>IF(COUNTIF(C29:C32,"")=0,"","17th to 20th")</f>
        <v>17th to 20th</v>
      </c>
      <c r="C29" s="189" t="str">
        <f>IF(AND(NOT(D29="")=TRUE,NOT(D30="")=TRUE)=TRUE,MAX(C5:C26)+1,"")</f>
        <v/>
      </c>
      <c r="D29" s="121" t="str">
        <f>IF(A29&gt;'Time Trial'!$C$48,"",VLOOKUP(A29,'Time Trial'!$C$5:$O$46,3))</f>
        <v/>
      </c>
      <c r="E29" s="61" t="str">
        <f>IF(A29&gt;'Time Trial'!$C$48,"",VLOOKUP(A29,'Time Trial'!$C$5:$O$46,2))</f>
        <v/>
      </c>
      <c r="F29" s="61" t="str">
        <f>IF(A29&gt;'Time Trial'!$C$48,"",VLOOKUP(A29,'Time Trial'!$C$5:$O$46,4))</f>
        <v/>
      </c>
      <c r="G29" s="61" t="str">
        <f>(IF(A29&gt;'Time Trial'!$C$48,"",VLOOKUP(A29,'Time Trial'!$C$5:$O$46,5)))</f>
        <v/>
      </c>
      <c r="H29" s="61" t="str">
        <f>(IF(A29&gt;'Time Trial'!$C$48,"",VLOOKUP(A29,'Time Trial'!$C$5:$O$46,6)))</f>
        <v/>
      </c>
      <c r="I29" s="134" t="str">
        <f>IF(H29="","",IF(H29="M",VLOOKUP(F29,$X$24:$Z$31,2)*VLOOKUP(G29,$AB$3:$AD$19,3),IF(H29="F",VLOOKUP(F29,$X$24:$Z$31,3)*VLOOKUP(G29,$AB$3:$AD$19,3))))</f>
        <v/>
      </c>
      <c r="J29" s="135" t="str">
        <f>IF(OR(I29="",I30="")=TRUE,"",IF(I29-I30&lt;=0,"",I29-I30))</f>
        <v/>
      </c>
      <c r="K29" s="131" t="str">
        <f t="shared" ref="K29:K38" si="3">IF(J29="","",IF(J29=0,"","head start"))</f>
        <v/>
      </c>
      <c r="L29" s="128"/>
      <c r="X29" t="str">
        <f t="shared" si="2"/>
        <v>4x</v>
      </c>
      <c r="Y29" s="56">
        <f>Y17*'Time Trial'!$T$4</f>
        <v>1076.5301844369253</v>
      </c>
      <c r="Z29" s="56">
        <f>Z17*'Time Trial'!$T$4</f>
        <v>1197.615761981569</v>
      </c>
    </row>
    <row r="30" spans="1:30" x14ac:dyDescent="0.25">
      <c r="A30" s="61">
        <f>A18+8</f>
        <v>20</v>
      </c>
      <c r="B30" s="183"/>
      <c r="C30" s="190"/>
      <c r="D30" s="122" t="str">
        <f>IF(A30&gt;'Time Trial'!$C$48,"",VLOOKUP(A30,'Time Trial'!$C$5:$O$46,3))</f>
        <v/>
      </c>
      <c r="E30" s="61" t="str">
        <f>IF(A30&gt;'Time Trial'!$C$48,"",VLOOKUP(A30,'Time Trial'!$C$5:$O$46,2))</f>
        <v/>
      </c>
      <c r="F30" s="61" t="str">
        <f>IF(A30&gt;'Time Trial'!$C$48,"",VLOOKUP(A30,'Time Trial'!$C$5:$O$46,4))</f>
        <v/>
      </c>
      <c r="G30" s="61" t="str">
        <f>(IF(A30&gt;'Time Trial'!$C$48,"",VLOOKUP(A30,'Time Trial'!$C$5:$O$46,5)))</f>
        <v/>
      </c>
      <c r="H30" s="61" t="str">
        <f>(IF(A30&gt;'Time Trial'!$C$48,"",VLOOKUP(A30,'Time Trial'!$C$5:$O$46,6)))</f>
        <v/>
      </c>
      <c r="I30" s="134" t="str">
        <f>IF(H30="","",IF(H30="M",VLOOKUP(F30,$X$24:$Z$31,2)*VLOOKUP(G30,$AB$3:$AD$19,3),IF(H30="F",VLOOKUP(F30,$X$24:$Z$31,3)*VLOOKUP(G30,$AB$3:$AD$19,3))))</f>
        <v/>
      </c>
      <c r="J30" s="139" t="str">
        <f>IF(OR(I29="",I30="")=TRUE,"",IF(I30-I29&lt;=0,"",I30-I29))</f>
        <v/>
      </c>
      <c r="K30" s="140" t="str">
        <f t="shared" si="3"/>
        <v/>
      </c>
      <c r="L30" s="129"/>
      <c r="X30" t="str">
        <f t="shared" si="2"/>
        <v>4x+</v>
      </c>
      <c r="Y30" s="56">
        <f>Y18*'Time Trial'!$T$4</f>
        <v>1123.1700480133479</v>
      </c>
      <c r="Z30" s="56">
        <f>Z18*'Time Trial'!$T$4</f>
        <v>1249.5015674734134</v>
      </c>
    </row>
    <row r="31" spans="1:30" x14ac:dyDescent="0.25">
      <c r="A31" s="61">
        <f>A19+8</f>
        <v>18</v>
      </c>
      <c r="B31" s="183"/>
      <c r="C31" s="189" t="str">
        <f>IF(AND(NOT(D31="")=TRUE,NOT(D32="")=TRUE)=TRUE,MAX(C5:C30)+1,"")</f>
        <v/>
      </c>
      <c r="D31" s="121" t="str">
        <f>IF(A31&gt;'Time Trial'!$C$48,"",VLOOKUP(A31,'Time Trial'!$C$5:$O$46,3))</f>
        <v/>
      </c>
      <c r="E31" s="61" t="str">
        <f>IF(A31&gt;'Time Trial'!$C$48,"",VLOOKUP(A31,'Time Trial'!$C$5:$O$46,2))</f>
        <v/>
      </c>
      <c r="F31" s="61" t="str">
        <f>IF(A31&gt;'Time Trial'!$C$48,"",VLOOKUP(A31,'Time Trial'!$C$5:$O$46,4))</f>
        <v/>
      </c>
      <c r="G31" s="61" t="str">
        <f>(IF(A31&gt;'Time Trial'!$C$48,"",VLOOKUP(A31,'Time Trial'!$C$5:$O$46,5)))</f>
        <v/>
      </c>
      <c r="H31" s="61" t="str">
        <f>(IF(A31&gt;'Time Trial'!$C$48,"",VLOOKUP(A31,'Time Trial'!$C$5:$O$46,6)))</f>
        <v/>
      </c>
      <c r="I31" s="134" t="str">
        <f>IF(H31="","",IF(H31="M",VLOOKUP(F31,$X$24:$Z$31,2)*VLOOKUP(G31,$AB$3:$AD$19,3),IF(H31="F",VLOOKUP(F31,$X$24:$Z$31,3)*VLOOKUP(G31,$AB$3:$AD$19,3))))</f>
        <v/>
      </c>
      <c r="J31" s="139" t="str">
        <f>IF(OR(I31="",I32="")=TRUE,"",IF(I31-I32&lt;=0,"",I31-I32))</f>
        <v/>
      </c>
      <c r="K31" s="140" t="str">
        <f t="shared" si="3"/>
        <v/>
      </c>
      <c r="L31" s="128"/>
      <c r="X31" t="str">
        <f t="shared" si="2"/>
        <v>8+</v>
      </c>
      <c r="Y31" s="56">
        <f>Y19*'Time Trial'!$T$4</f>
        <v>1020.7970141254768</v>
      </c>
      <c r="Z31" s="56">
        <f>Z19*'Time Trial'!$T$4</f>
        <v>1135.6138560479183</v>
      </c>
    </row>
    <row r="32" spans="1:30" x14ac:dyDescent="0.25">
      <c r="A32" s="61">
        <f>A20+8</f>
        <v>19</v>
      </c>
      <c r="B32" s="184"/>
      <c r="C32" s="190"/>
      <c r="D32" s="122" t="str">
        <f>IF(A32&gt;'Time Trial'!$C$48,"",VLOOKUP(A32,'Time Trial'!$C$5:$O$46,3))</f>
        <v/>
      </c>
      <c r="E32" s="61" t="str">
        <f>IF(A32&gt;'Time Trial'!$C$48,"",VLOOKUP(A32,'Time Trial'!$C$5:$O$46,2))</f>
        <v/>
      </c>
      <c r="F32" s="61" t="str">
        <f>IF(A32&gt;'Time Trial'!$C$48,"",VLOOKUP(A32,'Time Trial'!$C$5:$O$46,4))</f>
        <v/>
      </c>
      <c r="G32" s="61" t="str">
        <f>(IF(A32&gt;'Time Trial'!$C$48,"",VLOOKUP(A32,'Time Trial'!$C$5:$O$46,5)))</f>
        <v/>
      </c>
      <c r="H32" s="61" t="str">
        <f>(IF(A32&gt;'Time Trial'!$C$48,"",VLOOKUP(A32,'Time Trial'!$C$5:$O$46,6)))</f>
        <v/>
      </c>
      <c r="I32" s="134" t="str">
        <f>IF(H32="","",IF(H32="M",VLOOKUP(F32,$X$24:$Z$31,2)*VLOOKUP(G32,$AB$3:$AD$19,3),IF(H32="F",VLOOKUP(F32,$X$24:$Z$31,3)*VLOOKUP(G32,$AB$3:$AD$19,3))))</f>
        <v/>
      </c>
      <c r="J32" s="138" t="str">
        <f>IF(OR(I31="",I32="")=TRUE,"",IF(I32-I31&lt;=0,"",I32-I31))</f>
        <v/>
      </c>
      <c r="K32" s="132" t="str">
        <f t="shared" si="3"/>
        <v/>
      </c>
      <c r="L32" s="129"/>
    </row>
    <row r="33" spans="1:30" x14ac:dyDescent="0.25">
      <c r="A33" s="163"/>
      <c r="B33" s="163"/>
      <c r="C33" s="164"/>
      <c r="D33" s="165"/>
      <c r="E33" s="166"/>
      <c r="F33" s="163"/>
      <c r="G33" s="163"/>
      <c r="H33" s="163"/>
      <c r="I33" s="167"/>
      <c r="J33" s="168"/>
      <c r="K33" s="168"/>
      <c r="L33" s="163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AA33" s="167"/>
    </row>
    <row r="34" spans="1:30" x14ac:dyDescent="0.25">
      <c r="A34" s="26" t="s">
        <v>40</v>
      </c>
      <c r="B34" s="26" t="s">
        <v>41</v>
      </c>
      <c r="C34" s="160" t="s">
        <v>42</v>
      </c>
      <c r="D34" s="99" t="s">
        <v>43</v>
      </c>
      <c r="E34" s="87" t="s">
        <v>5</v>
      </c>
      <c r="F34" s="61" t="s">
        <v>44</v>
      </c>
      <c r="G34" s="61" t="s">
        <v>8</v>
      </c>
      <c r="H34" s="61" t="s">
        <v>9</v>
      </c>
      <c r="I34" s="161"/>
      <c r="J34" s="187" t="s">
        <v>15</v>
      </c>
      <c r="K34" s="188"/>
      <c r="L34" s="178" t="s">
        <v>45</v>
      </c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AA34" s="162"/>
      <c r="AB34" s="127"/>
      <c r="AC34" s="169"/>
      <c r="AD34" s="169"/>
    </row>
    <row r="35" spans="1:30" x14ac:dyDescent="0.25">
      <c r="A35" s="61">
        <f>A23+8</f>
        <v>21</v>
      </c>
      <c r="B35" s="182" t="str">
        <f>IF(COUNTIF(C35:C38,"")=0,"","21st to 24th")</f>
        <v>21st to 24th</v>
      </c>
      <c r="C35" s="189" t="str">
        <f>IF(AND(NOT(D35="")=TRUE,NOT(D36="")=TRUE)=TRUE,MAX(C5:C32)+1,"")</f>
        <v/>
      </c>
      <c r="D35" s="121" t="str">
        <f>IF(A35&gt;'Time Trial'!$C$48,"",VLOOKUP(A35,'Time Trial'!$C$5:$O$46,3))</f>
        <v/>
      </c>
      <c r="E35" s="61" t="str">
        <f>IF(A35&gt;'Time Trial'!$C$48,"",VLOOKUP(A35,'Time Trial'!$C$5:$O$46,2))</f>
        <v/>
      </c>
      <c r="F35" s="61" t="str">
        <f>IF(A35&gt;'Time Trial'!$C$48,"",VLOOKUP(A35,'Time Trial'!$C$5:$O$46,4))</f>
        <v/>
      </c>
      <c r="G35" s="61" t="str">
        <f>(IF(A35&gt;'Time Trial'!$C$48,"",VLOOKUP(A35,'Time Trial'!$C$5:$O$46,5)))</f>
        <v/>
      </c>
      <c r="H35" s="61" t="str">
        <f>(IF(A35&gt;'Time Trial'!$C$48,"",VLOOKUP(A35,'Time Trial'!$C$5:$O$46,6)))</f>
        <v/>
      </c>
      <c r="I35" s="134" t="str">
        <f>IF(H35="","",IF(H35="M",VLOOKUP(F35,$X$24:$Z$31,2)*VLOOKUP(G35,$AB$3:$AD$19,3),IF(H35="F",VLOOKUP(F35,$X$24:$Z$31,3)*VLOOKUP(G35,$AB$3:$AD$19,3))))</f>
        <v/>
      </c>
      <c r="J35" s="135" t="str">
        <f>IF(OR(I35="",I36="")=TRUE,"",IF(I35-I36&lt;=0,"",I35-I36))</f>
        <v/>
      </c>
      <c r="K35" s="131" t="str">
        <f t="shared" si="3"/>
        <v/>
      </c>
      <c r="L35" s="128"/>
      <c r="AB35" s="162"/>
      <c r="AC35" s="162"/>
      <c r="AD35" s="162"/>
    </row>
    <row r="36" spans="1:30" x14ac:dyDescent="0.25">
      <c r="A36" s="61">
        <f>A24+8</f>
        <v>24</v>
      </c>
      <c r="B36" s="183"/>
      <c r="C36" s="190"/>
      <c r="D36" s="122" t="str">
        <f>IF(A36&gt;'Time Trial'!$C$48,"",VLOOKUP(A36,'Time Trial'!$C$5:$O$46,3))</f>
        <v/>
      </c>
      <c r="E36" s="61" t="str">
        <f>IF(A36&gt;'Time Trial'!$C$48,"",VLOOKUP(A36,'Time Trial'!$C$5:$O$46,2))</f>
        <v/>
      </c>
      <c r="F36" s="61" t="str">
        <f>IF(A36&gt;'Time Trial'!$C$48,"",VLOOKUP(A36,'Time Trial'!$C$5:$O$46,4))</f>
        <v/>
      </c>
      <c r="G36" s="61" t="str">
        <f>(IF(A36&gt;'Time Trial'!$C$48,"",VLOOKUP(A36,'Time Trial'!$C$5:$O$46,5)))</f>
        <v/>
      </c>
      <c r="H36" s="61" t="str">
        <f>(IF(A36&gt;'Time Trial'!$C$48,"",VLOOKUP(A36,'Time Trial'!$C$5:$O$46,6)))</f>
        <v/>
      </c>
      <c r="I36" s="134" t="str">
        <f>IF(H36="","",IF(H36="M",VLOOKUP(F36,$X$24:$Z$31,2)*VLOOKUP(G36,$AB$3:$AD$19,3),IF(H36="F",VLOOKUP(F36,$X$24:$Z$31,3)*VLOOKUP(G36,$AB$3:$AD$19,3))))</f>
        <v/>
      </c>
      <c r="J36" s="139" t="str">
        <f>IF(OR(I35="",I36="")=TRUE,"",IF(I36-I35&lt;=0,"",I36-I35))</f>
        <v/>
      </c>
      <c r="K36" s="140" t="str">
        <f t="shared" si="3"/>
        <v/>
      </c>
      <c r="L36" s="129"/>
    </row>
    <row r="37" spans="1:30" x14ac:dyDescent="0.25">
      <c r="A37" s="61">
        <f>A25+8</f>
        <v>22</v>
      </c>
      <c r="B37" s="183"/>
      <c r="C37" s="189" t="str">
        <f>IF(AND(NOT(D37="")=TRUE,NOT(D38="")=TRUE)=TRUE,MAX(C5:C36)+1,"")</f>
        <v/>
      </c>
      <c r="D37" s="121" t="str">
        <f>IF(A37&gt;'Time Trial'!$C$48,"",VLOOKUP(A37,'Time Trial'!$C$5:$O$46,3))</f>
        <v/>
      </c>
      <c r="E37" s="61" t="str">
        <f>IF(A37&gt;'Time Trial'!$C$48,"",VLOOKUP(A37,'Time Trial'!$C$5:$O$46,2))</f>
        <v/>
      </c>
      <c r="F37" s="61" t="str">
        <f>IF(A37&gt;'Time Trial'!$C$48,"",VLOOKUP(A37,'Time Trial'!$C$5:$O$46,4))</f>
        <v/>
      </c>
      <c r="G37" s="61" t="str">
        <f>(IF(A37&gt;'Time Trial'!$C$48,"",VLOOKUP(A37,'Time Trial'!$C$5:$O$46,5)))</f>
        <v/>
      </c>
      <c r="H37" s="61" t="str">
        <f>(IF(A37&gt;'Time Trial'!$C$48,"",VLOOKUP(A37,'Time Trial'!$C$5:$O$46,6)))</f>
        <v/>
      </c>
      <c r="I37" s="134" t="str">
        <f>IF(H37="","",IF(H37="M",VLOOKUP(F37,$X$24:$Z$31,2)*VLOOKUP(G37,$AB$3:$AD$19,3),IF(H37="F",VLOOKUP(F37,$X$24:$Z$31,3)*VLOOKUP(G37,$AB$3:$AD$19,3))))</f>
        <v/>
      </c>
      <c r="J37" s="139" t="str">
        <f>IF(OR(I37="",I38="")=TRUE,"",IF(I37-I38&lt;=0,"",I37-I38))</f>
        <v/>
      </c>
      <c r="K37" s="140" t="str">
        <f t="shared" si="3"/>
        <v/>
      </c>
      <c r="L37" s="128"/>
    </row>
    <row r="38" spans="1:30" x14ac:dyDescent="0.25">
      <c r="A38" s="61">
        <f>A26+8</f>
        <v>23</v>
      </c>
      <c r="B38" s="184"/>
      <c r="C38" s="190"/>
      <c r="D38" s="122" t="str">
        <f>IF(A38&gt;'Time Trial'!$C$48,"",VLOOKUP(A38,'Time Trial'!$C$5:$O$46,3))</f>
        <v/>
      </c>
      <c r="E38" s="61" t="str">
        <f>IF(A38&gt;'Time Trial'!$C$48,"",VLOOKUP(A38,'Time Trial'!$C$5:$O$46,2))</f>
        <v/>
      </c>
      <c r="F38" s="61" t="str">
        <f>IF(A38&gt;'Time Trial'!$C$48,"",VLOOKUP(A38,'Time Trial'!$C$5:$O$46,4))</f>
        <v/>
      </c>
      <c r="G38" s="61" t="str">
        <f>(IF(A38&gt;'Time Trial'!$C$48,"",VLOOKUP(A38,'Time Trial'!$C$5:$O$46,5)))</f>
        <v/>
      </c>
      <c r="H38" s="61" t="str">
        <f>(IF(A38&gt;'Time Trial'!$C$48,"",VLOOKUP(A38,'Time Trial'!$C$5:$O$46,6)))</f>
        <v/>
      </c>
      <c r="I38" s="134" t="str">
        <f>IF(H38="","",IF(H38="M",VLOOKUP(F38,$X$24:$Z$31,2)*VLOOKUP(G38,$AB$3:$AD$19,3),IF(H38="F",VLOOKUP(F38,$X$24:$Z$31,3)*VLOOKUP(G38,$AB$3:$AD$19,3))))</f>
        <v/>
      </c>
      <c r="J38" s="138" t="str">
        <f>IF(OR(I37="",I38="")=TRUE,"",IF(I38-I37&lt;=0,"",I38-I37))</f>
        <v/>
      </c>
      <c r="K38" s="132" t="str">
        <f t="shared" si="3"/>
        <v/>
      </c>
      <c r="L38" s="129"/>
    </row>
    <row r="39" spans="1:30" x14ac:dyDescent="0.25">
      <c r="A39" s="179"/>
      <c r="B39" s="179"/>
      <c r="F39" s="179"/>
      <c r="G39" s="179"/>
      <c r="H39" s="179"/>
      <c r="J39" s="101"/>
      <c r="K39" s="101"/>
    </row>
    <row r="40" spans="1:30" x14ac:dyDescent="0.25">
      <c r="A40" s="26" t="s">
        <v>40</v>
      </c>
      <c r="B40" s="26" t="s">
        <v>41</v>
      </c>
      <c r="C40" s="160" t="s">
        <v>42</v>
      </c>
      <c r="D40" s="99" t="s">
        <v>43</v>
      </c>
      <c r="E40" s="87" t="s">
        <v>5</v>
      </c>
      <c r="F40" s="61" t="s">
        <v>44</v>
      </c>
      <c r="G40" s="61" t="s">
        <v>8</v>
      </c>
      <c r="H40" s="61" t="s">
        <v>9</v>
      </c>
      <c r="I40" s="161"/>
      <c r="J40" s="187" t="s">
        <v>15</v>
      </c>
      <c r="K40" s="188"/>
      <c r="L40" s="178" t="s">
        <v>45</v>
      </c>
      <c r="N40" s="102"/>
    </row>
    <row r="41" spans="1:30" x14ac:dyDescent="0.25">
      <c r="A41" s="61">
        <f>A29+8</f>
        <v>25</v>
      </c>
      <c r="B41" s="182" t="str">
        <f>IF(COUNTIF(C41:C44,"")=0,"","25th to 28th")</f>
        <v>25th to 28th</v>
      </c>
      <c r="C41" s="189" t="str">
        <f>IF(AND(NOT(D41="")=TRUE,NOT(D42="")=TRUE)=TRUE,MAX(C5:C38)+1,"")</f>
        <v/>
      </c>
      <c r="D41" s="121" t="str">
        <f>IF(A41&gt;'Time Trial'!$C$48,"",VLOOKUP(A41,'Time Trial'!$C$5:$O$46,3))</f>
        <v/>
      </c>
      <c r="E41" s="61" t="str">
        <f>IF(A41&gt;'Time Trial'!$C$48,"",VLOOKUP(A41,'Time Trial'!$C$5:$O$46,2))</f>
        <v/>
      </c>
      <c r="F41" s="61" t="str">
        <f>IF(A41&gt;'Time Trial'!$C$48,"",VLOOKUP(A41,'Time Trial'!$C$5:$O$46,4))</f>
        <v/>
      </c>
      <c r="G41" s="61" t="str">
        <f>(IF(A41&gt;'Time Trial'!$C$48,"",VLOOKUP(A41,'Time Trial'!$C$5:$O$46,5)))</f>
        <v/>
      </c>
      <c r="H41" s="61" t="str">
        <f>(IF(A41&gt;'Time Trial'!$C$48,"",VLOOKUP(A41,'Time Trial'!$C$5:$O$46,6)))</f>
        <v/>
      </c>
      <c r="I41" s="134" t="str">
        <f>IF(H41="","",IF(H41="M",VLOOKUP(F41,$X$24:$Z$31,2)*VLOOKUP(G41,$AB$3:$AD$19,3),IF(H41="F",VLOOKUP(F41,$X$24:$Z$31,3)*VLOOKUP(G41,$AB$3:$AD$19,3))))</f>
        <v/>
      </c>
      <c r="J41" s="135" t="str">
        <f>IF(OR(I41="",I42="")=TRUE,"",IF(I41-I42&lt;=0,"",I41-I42))</f>
        <v/>
      </c>
      <c r="K41" s="131" t="str">
        <f>IF(J41="","",IF(J41=0,"","head start"))</f>
        <v/>
      </c>
      <c r="L41" s="128"/>
    </row>
    <row r="42" spans="1:30" x14ac:dyDescent="0.25">
      <c r="A42" s="61">
        <f>A30+8</f>
        <v>28</v>
      </c>
      <c r="B42" s="183"/>
      <c r="C42" s="190"/>
      <c r="D42" s="122" t="str">
        <f>IF(A42&gt;'Time Trial'!$C$48,"",VLOOKUP(A42,'Time Trial'!$C$5:$O$46,3))</f>
        <v/>
      </c>
      <c r="E42" s="61" t="str">
        <f>IF(A42&gt;'Time Trial'!$C$48,"",VLOOKUP(A42,'Time Trial'!$C$5:$O$46,2))</f>
        <v/>
      </c>
      <c r="F42" s="61" t="str">
        <f>IF(A42&gt;'Time Trial'!$C$48,"",VLOOKUP(A42,'Time Trial'!$C$5:$O$46,4))</f>
        <v/>
      </c>
      <c r="G42" s="61" t="str">
        <f>(IF(A42&gt;'Time Trial'!$C$48,"",VLOOKUP(A42,'Time Trial'!$C$5:$O$46,5)))</f>
        <v/>
      </c>
      <c r="H42" s="61" t="str">
        <f>(IF(A42&gt;'Time Trial'!$C$48,"",VLOOKUP(A42,'Time Trial'!$C$5:$O$46,6)))</f>
        <v/>
      </c>
      <c r="I42" s="134" t="str">
        <f>IF(H42="","",IF(H42="M",VLOOKUP(F42,$X$24:$Z$31,2)*VLOOKUP(G42,$AB$3:$AD$19,3),IF(H42="F",VLOOKUP(F42,$X$24:$Z$31,3)*VLOOKUP(G42,$AB$3:$AD$19,3))))</f>
        <v/>
      </c>
      <c r="J42" s="139" t="str">
        <f>IF(OR(I41="",I42="")=TRUE,"",IF(I42-I41&lt;=0,"",I42-I41))</f>
        <v/>
      </c>
      <c r="K42" s="140" t="str">
        <f>IF(J42="","",IF(J42=0,"","head start"))</f>
        <v/>
      </c>
      <c r="L42" s="129"/>
    </row>
    <row r="43" spans="1:30" x14ac:dyDescent="0.25">
      <c r="A43" s="61">
        <f>A31+8</f>
        <v>26</v>
      </c>
      <c r="B43" s="183"/>
      <c r="C43" s="189" t="str">
        <f>IF(AND(NOT(D43="")=TRUE,NOT(D44="")=TRUE)=TRUE,MAX(C5:C42)+1,"")</f>
        <v/>
      </c>
      <c r="D43" s="121" t="str">
        <f>IF(A43&gt;'Time Trial'!$C$48,"",VLOOKUP(A43,'Time Trial'!$C$5:$O$46,3))</f>
        <v/>
      </c>
      <c r="E43" s="61" t="str">
        <f>IF(A43&gt;'Time Trial'!$C$48,"",VLOOKUP(A43,'Time Trial'!$C$5:$O$46,2))</f>
        <v/>
      </c>
      <c r="F43" s="61" t="str">
        <f>IF(A43&gt;'Time Trial'!$C$48,"",VLOOKUP(A43,'Time Trial'!$C$5:$O$46,4))</f>
        <v/>
      </c>
      <c r="G43" s="61" t="str">
        <f>(IF(A43&gt;'Time Trial'!$C$48,"",VLOOKUP(A43,'Time Trial'!$C$5:$O$46,5)))</f>
        <v/>
      </c>
      <c r="H43" s="61" t="str">
        <f>(IF(A43&gt;'Time Trial'!$C$48,"",VLOOKUP(A43,'Time Trial'!$C$5:$O$46,6)))</f>
        <v/>
      </c>
      <c r="I43" s="134" t="str">
        <f>IF(H43="","",IF(H43="M",VLOOKUP(F43,$X$24:$Z$31,2)*VLOOKUP(G43,$AB$3:$AD$19,3),IF(H43="F",VLOOKUP(F43,$X$24:$Z$31,3)*VLOOKUP(G43,$AB$3:$AD$19,3))))</f>
        <v/>
      </c>
      <c r="J43" s="139" t="str">
        <f>IF(OR(I43="",I44="")=TRUE,"",IF(I43-I44&lt;=0,"",I43-I44))</f>
        <v/>
      </c>
      <c r="K43" s="140" t="str">
        <f>IF(J43="","",IF(J43=0,"","head start"))</f>
        <v/>
      </c>
      <c r="L43" s="128"/>
    </row>
    <row r="44" spans="1:30" x14ac:dyDescent="0.25">
      <c r="A44" s="61">
        <f>A32+8</f>
        <v>27</v>
      </c>
      <c r="B44" s="184"/>
      <c r="C44" s="190"/>
      <c r="D44" s="122" t="str">
        <f>IF(A44&gt;'Time Trial'!$C$48,"",VLOOKUP(A44,'Time Trial'!$C$5:$O$46,3))</f>
        <v/>
      </c>
      <c r="E44" s="61" t="str">
        <f>IF(A44&gt;'Time Trial'!$C$48,"",VLOOKUP(A44,'Time Trial'!$C$5:$O$46,2))</f>
        <v/>
      </c>
      <c r="F44" s="61" t="str">
        <f>IF(A44&gt;'Time Trial'!$C$48,"",VLOOKUP(A44,'Time Trial'!$C$5:$O$46,4))</f>
        <v/>
      </c>
      <c r="G44" s="61" t="str">
        <f>(IF(A44&gt;'Time Trial'!$C$48,"",VLOOKUP(A44,'Time Trial'!$C$5:$O$46,5)))</f>
        <v/>
      </c>
      <c r="H44" s="61" t="str">
        <f>(IF(A44&gt;'Time Trial'!$C$48,"",VLOOKUP(A44,'Time Trial'!$C$5:$O$46,6)))</f>
        <v/>
      </c>
      <c r="I44" s="134" t="str">
        <f>IF(H44="","",IF(H44="M",VLOOKUP(F44,$X$24:$Z$31,2)*VLOOKUP(G44,$AB$3:$AD$19,3),IF(H44="F",VLOOKUP(F44,$X$24:$Z$31,3)*VLOOKUP(G44,$AB$3:$AD$19,3))))</f>
        <v/>
      </c>
      <c r="J44" s="138" t="str">
        <f>IF(OR(I43="",I44="")=TRUE,"",IF(I44-I43&lt;=0,"",I44-I43))</f>
        <v/>
      </c>
      <c r="K44" s="132" t="str">
        <f>IF(J44="","",IF(J44=0,"","head start"))</f>
        <v/>
      </c>
      <c r="L44" s="129"/>
    </row>
    <row r="45" spans="1:30" x14ac:dyDescent="0.25">
      <c r="A45" s="179"/>
      <c r="B45" s="179"/>
      <c r="F45" s="179"/>
      <c r="G45" s="179"/>
      <c r="H45" s="179"/>
      <c r="J45" s="101"/>
      <c r="K45" s="101"/>
    </row>
    <row r="46" spans="1:30" x14ac:dyDescent="0.25">
      <c r="A46" s="26" t="s">
        <v>40</v>
      </c>
      <c r="B46" s="26" t="s">
        <v>41</v>
      </c>
      <c r="C46" s="160" t="s">
        <v>42</v>
      </c>
      <c r="D46" s="99" t="s">
        <v>43</v>
      </c>
      <c r="E46" s="87" t="s">
        <v>5</v>
      </c>
      <c r="F46" s="61" t="s">
        <v>44</v>
      </c>
      <c r="G46" s="61" t="s">
        <v>8</v>
      </c>
      <c r="H46" s="61" t="s">
        <v>9</v>
      </c>
      <c r="I46" s="161"/>
      <c r="J46" s="187" t="s">
        <v>15</v>
      </c>
      <c r="K46" s="188"/>
      <c r="L46" s="178" t="s">
        <v>45</v>
      </c>
    </row>
    <row r="47" spans="1:30" x14ac:dyDescent="0.25">
      <c r="A47" s="61">
        <f>A35+8</f>
        <v>29</v>
      </c>
      <c r="B47" s="182" t="str">
        <f>IF(COUNTIF(C47:C50,"")=0,"","29th to 32nd")</f>
        <v>29th to 32nd</v>
      </c>
      <c r="C47" s="189" t="str">
        <f>IF(AND(NOT(D47="")=TRUE,NOT(D48="")=TRUE)=TRUE,MAX(C5:C44)+1,"")</f>
        <v/>
      </c>
      <c r="D47" s="121" t="str">
        <f>IF(A47&gt;'Time Trial'!$C$48,"",VLOOKUP(A47,'Time Trial'!$C$5:$O$46,3))</f>
        <v/>
      </c>
      <c r="E47" s="61" t="str">
        <f>IF(A47&gt;'Time Trial'!$C$48,"",VLOOKUP(A47,'Time Trial'!$C$5:$O$46,2))</f>
        <v/>
      </c>
      <c r="F47" s="61" t="str">
        <f>IF(A47&gt;'Time Trial'!$C$48,"",VLOOKUP(A47,'Time Trial'!$C$5:$O$46,4))</f>
        <v/>
      </c>
      <c r="G47" s="61" t="str">
        <f>(IF(A47&gt;'Time Trial'!$C$48,"",VLOOKUP(A47,'Time Trial'!$C$5:$O$46,5)))</f>
        <v/>
      </c>
      <c r="H47" s="61" t="str">
        <f>(IF(A47&gt;'Time Trial'!$C$48,"",VLOOKUP(A47,'Time Trial'!$C$5:$O$46,6)))</f>
        <v/>
      </c>
      <c r="I47" s="134" t="str">
        <f>IF(H47="","",IF(H47="M",VLOOKUP(F47,$X$24:$Z$31,2)*VLOOKUP(G47,$AB$3:$AD$19,3),IF(H47="F",VLOOKUP(F47,$X$24:$Z$31,3)*VLOOKUP(G47,$AB$3:$AD$19,3))))</f>
        <v/>
      </c>
      <c r="J47" s="139" t="str">
        <f>IF(OR(I47="",I48="")=TRUE,"",IF(I47-I48&lt;=0,"",I47-I48))</f>
        <v/>
      </c>
      <c r="K47" s="140" t="str">
        <f>IF(J47="","",IF(J47=0,"","head start"))</f>
        <v/>
      </c>
      <c r="L47" s="128"/>
    </row>
    <row r="48" spans="1:30" x14ac:dyDescent="0.25">
      <c r="A48" s="61">
        <f>A36+8</f>
        <v>32</v>
      </c>
      <c r="B48" s="183"/>
      <c r="C48" s="190"/>
      <c r="D48" s="122" t="str">
        <f>IF(A48&gt;'Time Trial'!$C$48,"",VLOOKUP(A48,'Time Trial'!$C$5:$O$46,3))</f>
        <v/>
      </c>
      <c r="E48" s="61" t="str">
        <f>IF(A48&gt;'Time Trial'!$C$48,"",VLOOKUP(A48,'Time Trial'!$C$5:$O$46,2))</f>
        <v/>
      </c>
      <c r="F48" s="61" t="str">
        <f>IF(A48&gt;'Time Trial'!$C$48,"",VLOOKUP(A48,'Time Trial'!$C$5:$O$46,4))</f>
        <v/>
      </c>
      <c r="G48" s="61" t="str">
        <f>(IF(A48&gt;'Time Trial'!$C$48,"",VLOOKUP(A48,'Time Trial'!$C$5:$O$46,5)))</f>
        <v/>
      </c>
      <c r="H48" s="61" t="str">
        <f>(IF(A48&gt;'Time Trial'!$C$48,"",VLOOKUP(A48,'Time Trial'!$C$5:$O$46,6)))</f>
        <v/>
      </c>
      <c r="I48" s="134" t="str">
        <f>IF(H48="","",IF(H48="M",VLOOKUP(F48,$X$24:$Z$31,2)*VLOOKUP(G48,$AB$3:$AD$19,3),IF(H48="F",VLOOKUP(F48,$X$24:$Z$31,3)*VLOOKUP(G48,$AB$3:$AD$19,3))))</f>
        <v/>
      </c>
      <c r="J48" s="135" t="str">
        <f>IF(OR(I47="",I48="")=TRUE,"",IF(I48-I47&lt;=0,"",I48-I47))</f>
        <v/>
      </c>
      <c r="K48" s="131" t="str">
        <f>IF(J48="","",IF(J48=0,"","head start"))</f>
        <v/>
      </c>
      <c r="L48" s="129"/>
    </row>
    <row r="49" spans="1:12" x14ac:dyDescent="0.25">
      <c r="A49" s="61">
        <f>A37+8</f>
        <v>30</v>
      </c>
      <c r="B49" s="183"/>
      <c r="C49" s="189" t="str">
        <f>IF(AND(NOT(D49="")=TRUE,NOT(D50="")=TRUE)=TRUE,MAX(C11:C48)+1,"")</f>
        <v/>
      </c>
      <c r="D49" s="121" t="str">
        <f>IF(A49&gt;'Time Trial'!$C$48,"",VLOOKUP(A49,'Time Trial'!$C$5:$O$46,3))</f>
        <v/>
      </c>
      <c r="E49" s="61" t="str">
        <f>IF(A49&gt;'Time Trial'!$C$48,"",VLOOKUP(A49,'Time Trial'!$C$5:$O$46,2))</f>
        <v/>
      </c>
      <c r="F49" s="61" t="str">
        <f>IF(A49&gt;'Time Trial'!$C$48,"",VLOOKUP(A49,'Time Trial'!$C$5:$O$46,4))</f>
        <v/>
      </c>
      <c r="G49" s="61" t="str">
        <f>(IF(A49&gt;'Time Trial'!$C$48,"",VLOOKUP(A49,'Time Trial'!$C$5:$O$46,5)))</f>
        <v/>
      </c>
      <c r="H49" s="61" t="str">
        <f>(IF(A49&gt;'Time Trial'!$C$48,"",VLOOKUP(A49,'Time Trial'!$C$5:$O$46,6)))</f>
        <v/>
      </c>
      <c r="I49" s="134" t="str">
        <f>IF(H49="","",IF(H49="M",VLOOKUP(F49,$X$24:$Z$31,2)*VLOOKUP(G49,$AB$3:$AD$19,3),IF(H49="F",VLOOKUP(F49,$X$24:$Z$31,3)*VLOOKUP(G49,$AB$3:$AD$19,3))))</f>
        <v/>
      </c>
      <c r="J49" s="139" t="str">
        <f>IF(OR(I49="",I50="")=TRUE,"",IF(I49-I50&lt;=0,"",I49-I50))</f>
        <v/>
      </c>
      <c r="K49" s="140" t="str">
        <f>IF(J49="","",IF(J49=0,"","head start"))</f>
        <v/>
      </c>
      <c r="L49" s="128"/>
    </row>
    <row r="50" spans="1:12" x14ac:dyDescent="0.25">
      <c r="A50" s="61">
        <f>A38+8</f>
        <v>31</v>
      </c>
      <c r="B50" s="184"/>
      <c r="C50" s="190"/>
      <c r="D50" s="122" t="str">
        <f>IF(A50&gt;'Time Trial'!$C$48,"",VLOOKUP(A50,'Time Trial'!$C$5:$O$46,3))</f>
        <v/>
      </c>
      <c r="E50" s="61" t="str">
        <f>IF(A50&gt;'Time Trial'!$C$48,"",VLOOKUP(A50,'Time Trial'!$C$5:$O$46,2))</f>
        <v/>
      </c>
      <c r="F50" s="61" t="str">
        <f>IF(A50&gt;'Time Trial'!$C$48,"",VLOOKUP(A50,'Time Trial'!$C$5:$O$46,4))</f>
        <v/>
      </c>
      <c r="G50" s="61" t="str">
        <f>(IF(A50&gt;'Time Trial'!$C$48,"",VLOOKUP(A50,'Time Trial'!$C$5:$O$46,5)))</f>
        <v/>
      </c>
      <c r="H50" s="61" t="str">
        <f>(IF(A50&gt;'Time Trial'!$C$48,"",VLOOKUP(A50,'Time Trial'!$C$5:$O$46,6)))</f>
        <v/>
      </c>
      <c r="I50" s="134" t="str">
        <f>IF(H50="","",IF(H50="M",VLOOKUP(F50,$X$24:$Z$31,2)*VLOOKUP(G50,$AB$3:$AD$19,3),IF(H50="F",VLOOKUP(F50,$X$24:$Z$31,3)*VLOOKUP(G50,$AB$3:$AD$19,3))))</f>
        <v/>
      </c>
      <c r="J50" s="138" t="str">
        <f>IF(OR(I49="",I50="")=TRUE,"",IF(I50-I49&lt;=0,"",I50-I49))</f>
        <v/>
      </c>
      <c r="K50" s="132" t="str">
        <f>IF(J50="","",IF(J50=0,"","head start"))</f>
        <v/>
      </c>
      <c r="L50" s="129"/>
    </row>
    <row r="51" spans="1:12" x14ac:dyDescent="0.25">
      <c r="A51" s="179"/>
      <c r="B51" s="179"/>
      <c r="F51" s="179"/>
      <c r="G51" s="179"/>
      <c r="H51" s="179"/>
      <c r="J51" s="101"/>
      <c r="K51" s="101"/>
    </row>
    <row r="52" spans="1:12" x14ac:dyDescent="0.25">
      <c r="A52" s="26" t="s">
        <v>40</v>
      </c>
      <c r="B52" s="26" t="s">
        <v>41</v>
      </c>
      <c r="C52" s="160" t="s">
        <v>42</v>
      </c>
      <c r="D52" s="99" t="s">
        <v>43</v>
      </c>
      <c r="E52" s="87" t="s">
        <v>5</v>
      </c>
      <c r="F52" s="61" t="s">
        <v>44</v>
      </c>
      <c r="G52" s="61" t="s">
        <v>8</v>
      </c>
      <c r="H52" s="61" t="s">
        <v>9</v>
      </c>
      <c r="I52" s="161"/>
      <c r="J52" s="187" t="s">
        <v>15</v>
      </c>
      <c r="K52" s="188"/>
      <c r="L52" s="178" t="s">
        <v>45</v>
      </c>
    </row>
    <row r="53" spans="1:12" x14ac:dyDescent="0.25">
      <c r="A53" s="61">
        <f>A41+8</f>
        <v>33</v>
      </c>
      <c r="B53" s="182" t="str">
        <f>IF(COUNTIF(C53:C56,"")=0,"","33rd to 36th")</f>
        <v>33rd to 36th</v>
      </c>
      <c r="C53" s="189" t="str">
        <f>IF(AND(NOT(D53="")=TRUE,NOT(D54="")=TRUE)=TRUE,MAX(C5:C50)+1,"")</f>
        <v/>
      </c>
      <c r="D53" s="121" t="str">
        <f>IF(A53&gt;'Time Trial'!$C$48,"",VLOOKUP(A53,'Time Trial'!$C$5:$O$46,3))</f>
        <v/>
      </c>
      <c r="E53" s="61" t="str">
        <f>IF(A53&gt;'Time Trial'!$C$48,"",VLOOKUP(A53,'Time Trial'!$C$5:$O$46,2))</f>
        <v/>
      </c>
      <c r="F53" s="61" t="str">
        <f>IF(A53&gt;'Time Trial'!$C$48,"",VLOOKUP(A53,'Time Trial'!$C$5:$O$46,4))</f>
        <v/>
      </c>
      <c r="G53" s="61" t="str">
        <f>(IF(A53&gt;'Time Trial'!$C$48,"",VLOOKUP(A53,'Time Trial'!$C$5:$O$46,5)))</f>
        <v/>
      </c>
      <c r="H53" s="61" t="str">
        <f>(IF(A53&gt;'Time Trial'!$C$48,"",VLOOKUP(A53,'Time Trial'!$C$5:$O$46,6)))</f>
        <v/>
      </c>
      <c r="I53" s="134" t="str">
        <f>IF(H53="","",IF(H53="M",VLOOKUP(F53,$X$24:$Z$31,2)*VLOOKUP(G53,$AB$3:$AD$19,3),IF(H53="F",VLOOKUP(F53,$X$24:$Z$31,3)*VLOOKUP(G53,$AB$3:$AD$19,3))))</f>
        <v/>
      </c>
      <c r="J53" s="135" t="str">
        <f>IF(OR(I53="",I54="")=TRUE,"",IF(I53-I54&lt;=0,"",I53-I54))</f>
        <v/>
      </c>
      <c r="K53" s="131" t="str">
        <f>IF(J53="","",IF(J53=0,"","head start"))</f>
        <v/>
      </c>
      <c r="L53" s="128"/>
    </row>
    <row r="54" spans="1:12" x14ac:dyDescent="0.25">
      <c r="A54" s="61">
        <f>A42+8</f>
        <v>36</v>
      </c>
      <c r="B54" s="183"/>
      <c r="C54" s="190"/>
      <c r="D54" s="122" t="str">
        <f>IF(A54&gt;'Time Trial'!$C$48,"",VLOOKUP(A54,'Time Trial'!$C$5:$O$46,3))</f>
        <v/>
      </c>
      <c r="E54" s="61" t="str">
        <f>IF(A54&gt;'Time Trial'!$C$48,"",VLOOKUP(A54,'Time Trial'!$C$5:$O$46,2))</f>
        <v/>
      </c>
      <c r="F54" s="61" t="str">
        <f>IF(A54&gt;'Time Trial'!$C$48,"",VLOOKUP(A54,'Time Trial'!$C$5:$O$46,4))</f>
        <v/>
      </c>
      <c r="G54" s="61" t="str">
        <f>(IF(A54&gt;'Time Trial'!$C$48,"",VLOOKUP(A54,'Time Trial'!$C$5:$O$46,5)))</f>
        <v/>
      </c>
      <c r="H54" s="61" t="str">
        <f>(IF(A54&gt;'Time Trial'!$C$48,"",VLOOKUP(A54,'Time Trial'!$C$5:$O$46,6)))</f>
        <v/>
      </c>
      <c r="I54" s="134" t="str">
        <f>IF(H54="","",IF(H54="M",VLOOKUP(F54,$X$24:$Z$31,2)*VLOOKUP(G54,$AB$3:$AD$19,3),IF(H54="F",VLOOKUP(F54,$X$24:$Z$31,3)*VLOOKUP(G54,$AB$3:$AD$19,3))))</f>
        <v/>
      </c>
      <c r="J54" s="139" t="str">
        <f>IF(OR(I53="",I54="")=TRUE,"",IF(I54-I53&lt;0,"",I54-I53))</f>
        <v/>
      </c>
      <c r="K54" s="140" t="str">
        <f>IF(J54="","",IF(J54=0,"","head start"))</f>
        <v/>
      </c>
      <c r="L54" s="129"/>
    </row>
    <row r="55" spans="1:12" x14ac:dyDescent="0.25">
      <c r="A55" s="61">
        <f>A43+8</f>
        <v>34</v>
      </c>
      <c r="B55" s="183"/>
      <c r="C55" s="189" t="str">
        <f>IF(AND(NOT(D55="")=TRUE,NOT(D56="")=TRUE)=TRUE,MAX(C5:C54)+1,"")</f>
        <v/>
      </c>
      <c r="D55" s="121" t="str">
        <f>IF(A55&gt;'Time Trial'!$C$48,"",VLOOKUP(A55,'Time Trial'!$C$5:$O$46,3))</f>
        <v/>
      </c>
      <c r="E55" s="61" t="str">
        <f>IF(A55&gt;'Time Trial'!$C$48,"",VLOOKUP(A55,'Time Trial'!$C$5:$O$46,2))</f>
        <v/>
      </c>
      <c r="F55" s="61" t="str">
        <f>IF(A55&gt;'Time Trial'!$C$48,"",VLOOKUP(A55,'Time Trial'!$C$5:$O$46,4))</f>
        <v/>
      </c>
      <c r="G55" s="61" t="str">
        <f>(IF(A55&gt;'Time Trial'!$C$48,"",VLOOKUP(A55,'Time Trial'!$C$5:$O$46,5)))</f>
        <v/>
      </c>
      <c r="H55" s="61" t="str">
        <f>(IF(A55&gt;'Time Trial'!$C$48,"",VLOOKUP(A55,'Time Trial'!$C$5:$O$46,6)))</f>
        <v/>
      </c>
      <c r="I55" s="134" t="str">
        <f>IF(H55="","",IF(H55="M",VLOOKUP(F55,$X$24:$Z$31,2)*VLOOKUP(G55,$AB$3:$AD$19,3),IF(H55="F",VLOOKUP(F55,$X$24:$Z$31,3)*VLOOKUP(G55,$AB$3:$AD$19,3))))</f>
        <v/>
      </c>
      <c r="J55" s="136" t="str">
        <f>IF(OR(I55="",I56="")=TRUE,"",IF(I55-I56&lt;=0,"",I55-I56))</f>
        <v/>
      </c>
      <c r="K55" s="137" t="str">
        <f>IF(J55="","",IF(J55=0,"","head start"))</f>
        <v/>
      </c>
      <c r="L55" s="128"/>
    </row>
    <row r="56" spans="1:12" x14ac:dyDescent="0.25">
      <c r="A56" s="61">
        <f>A44+8</f>
        <v>35</v>
      </c>
      <c r="B56" s="184"/>
      <c r="C56" s="190"/>
      <c r="D56" s="122" t="str">
        <f>IF(A56&gt;'Time Trial'!$C$48,"",VLOOKUP(A56,'Time Trial'!$C$5:$O$46,3))</f>
        <v/>
      </c>
      <c r="E56" s="61" t="str">
        <f>IF(A56&gt;'Time Trial'!$C$48,"",VLOOKUP(A56,'Time Trial'!$C$5:$O$46,2))</f>
        <v/>
      </c>
      <c r="F56" s="61" t="str">
        <f>IF(A56&gt;'Time Trial'!$C$48,"",VLOOKUP(A56,'Time Trial'!$C$5:$O$46,4))</f>
        <v/>
      </c>
      <c r="G56" s="61" t="str">
        <f>(IF(A56&gt;'Time Trial'!$C$48,"",VLOOKUP(A56,'Time Trial'!$C$5:$O$46,5)))</f>
        <v/>
      </c>
      <c r="H56" s="61" t="str">
        <f>(IF(A56&gt;'Time Trial'!$C$48,"",VLOOKUP(A56,'Time Trial'!$C$5:$O$46,6)))</f>
        <v/>
      </c>
      <c r="I56" s="134" t="str">
        <f>IF(H56="","",IF(H56="M",VLOOKUP(F56,$X$24:$Z$31,2)*VLOOKUP(G56,$AB$3:$AD$19,3),IF(H56="F",VLOOKUP(F56,$X$24:$Z$31,3)*VLOOKUP(G56,$AB$3:$AD$19,3))))</f>
        <v/>
      </c>
      <c r="J56" s="139" t="str">
        <f>IF(OR(I55="",I56="")=TRUE,"",IF(I56-I55&lt;=0,"",I56-I55))</f>
        <v/>
      </c>
      <c r="K56" s="140" t="str">
        <f>IF(J56="","",IF(J56=0,"","head start"))</f>
        <v/>
      </c>
      <c r="L56" s="129"/>
    </row>
    <row r="57" spans="1:12" x14ac:dyDescent="0.25">
      <c r="A57" s="179"/>
      <c r="B57" s="179"/>
      <c r="F57" s="179"/>
      <c r="G57" s="179"/>
      <c r="H57" s="179"/>
      <c r="J57" s="101"/>
      <c r="K57" s="101"/>
    </row>
    <row r="58" spans="1:12" x14ac:dyDescent="0.25">
      <c r="A58" s="26" t="s">
        <v>40</v>
      </c>
      <c r="B58" s="26" t="s">
        <v>41</v>
      </c>
      <c r="C58" s="160" t="s">
        <v>42</v>
      </c>
      <c r="D58" s="99" t="s">
        <v>43</v>
      </c>
      <c r="E58" s="87" t="s">
        <v>5</v>
      </c>
      <c r="F58" s="61" t="s">
        <v>44</v>
      </c>
      <c r="G58" s="61" t="s">
        <v>8</v>
      </c>
      <c r="H58" s="61" t="s">
        <v>9</v>
      </c>
      <c r="I58" s="161"/>
      <c r="J58" s="187" t="s">
        <v>15</v>
      </c>
      <c r="K58" s="188"/>
      <c r="L58" s="178" t="s">
        <v>45</v>
      </c>
    </row>
    <row r="59" spans="1:12" x14ac:dyDescent="0.25">
      <c r="A59" s="61">
        <f>A47+8</f>
        <v>37</v>
      </c>
      <c r="B59" s="182" t="str">
        <f>IF(COUNTIF(C59:C62,"")=0,"","37th to 40th")</f>
        <v>37th to 40th</v>
      </c>
      <c r="C59" s="189" t="str">
        <f>IF(AND(NOT(D59="")=TRUE,NOT(D60="")=TRUE)=TRUE,MAX(C5:C56)+1,"")</f>
        <v/>
      </c>
      <c r="D59" s="121" t="str">
        <f>IF(A59&gt;'Time Trial'!$C$48,"",VLOOKUP(A59,'Time Trial'!$C$5:$O$46,3))</f>
        <v/>
      </c>
      <c r="E59" s="61" t="str">
        <f>IF(A59&gt;'Time Trial'!$C$48,"",VLOOKUP(A59,'Time Trial'!$C$5:$O$46,2))</f>
        <v/>
      </c>
      <c r="F59" s="61" t="str">
        <f>IF(A59&gt;'Time Trial'!$C$48,"",VLOOKUP(A59,'Time Trial'!$C$5:$O$46,4))</f>
        <v/>
      </c>
      <c r="G59" s="61" t="str">
        <f>(IF(A59&gt;'Time Trial'!$C$48,"",VLOOKUP(A59,'Time Trial'!$C$5:$O$46,5)))</f>
        <v/>
      </c>
      <c r="H59" s="61" t="str">
        <f>(IF(A59&gt;'Time Trial'!$C$48,"",VLOOKUP(A59,'Time Trial'!$C$5:$O$46,6)))</f>
        <v/>
      </c>
      <c r="I59" s="134" t="str">
        <f>IF(H59="","",IF(H59="M",VLOOKUP(F59,$X$24:$Z$31,2)*VLOOKUP(G59,$AB$3:$AD$19,3),IF(H59="F",VLOOKUP(F59,$X$24:$Z$31,3)*VLOOKUP(G59,$AB$3:$AD$19,3))))</f>
        <v/>
      </c>
      <c r="J59" s="135" t="str">
        <f>IF(OR(I59="",I60="")=TRUE,"",IF(I59-I60&lt;=0,"",I59-I60))</f>
        <v/>
      </c>
      <c r="K59" s="131" t="str">
        <f>IF(J59="","",IF(J59=0,"","head start"))</f>
        <v/>
      </c>
      <c r="L59" s="128"/>
    </row>
    <row r="60" spans="1:12" x14ac:dyDescent="0.25">
      <c r="A60" s="61">
        <f>A48+8</f>
        <v>40</v>
      </c>
      <c r="B60" s="183"/>
      <c r="C60" s="190"/>
      <c r="D60" s="122" t="str">
        <f>IF(A60&gt;'Time Trial'!$C$48,"",VLOOKUP(A60,'Time Trial'!$C$5:$O$46,3))</f>
        <v/>
      </c>
      <c r="E60" s="61" t="str">
        <f>IF(A60&gt;'Time Trial'!$C$48,"",VLOOKUP(A60,'Time Trial'!$C$5:$O$46,2))</f>
        <v/>
      </c>
      <c r="F60" s="61" t="str">
        <f>IF(A60&gt;'Time Trial'!$C$48,"",VLOOKUP(A60,'Time Trial'!$C$5:$O$46,4))</f>
        <v/>
      </c>
      <c r="G60" s="61" t="str">
        <f>(IF(A60&gt;'Time Trial'!$C$48,"",VLOOKUP(A60,'Time Trial'!$C$5:$O$46,5)))</f>
        <v/>
      </c>
      <c r="H60" s="61" t="str">
        <f>(IF(A60&gt;'Time Trial'!$C$48,"",VLOOKUP(A60,'Time Trial'!$C$5:$O$46,6)))</f>
        <v/>
      </c>
      <c r="I60" s="134" t="str">
        <f>IF(H60="","",IF(H60="M",VLOOKUP(F60,$X$24:$Z$31,2)*VLOOKUP(G60,$AB$3:$AD$19,3),IF(H60="F",VLOOKUP(F60,$X$24:$Z$31,3)*VLOOKUP(G60,$AB$3:$AD$19,3))))</f>
        <v/>
      </c>
      <c r="J60" s="139" t="str">
        <f>IF(OR(I59="",I60="")=TRUE,"",IF(I60-I59&lt;=0,"",I60-I59))</f>
        <v/>
      </c>
      <c r="K60" s="140" t="str">
        <f>IF(J60="","",IF(J60=0,"","head start"))</f>
        <v/>
      </c>
      <c r="L60" s="129"/>
    </row>
    <row r="61" spans="1:12" x14ac:dyDescent="0.25">
      <c r="A61" s="61">
        <f>A49+8</f>
        <v>38</v>
      </c>
      <c r="B61" s="183"/>
      <c r="C61" s="189" t="str">
        <f>IF(AND(NOT(D61="")=TRUE,NOT(D62="")=TRUE)=TRUE,MAX(C7:C60)+1,"")</f>
        <v/>
      </c>
      <c r="D61" s="121" t="str">
        <f>IF(A61&gt;'Time Trial'!$C$48,"",VLOOKUP(A61,'Time Trial'!$C$5:$O$46,3))</f>
        <v/>
      </c>
      <c r="E61" s="61" t="str">
        <f>IF(A61&gt;'Time Trial'!$C$48,"",VLOOKUP(A61,'Time Trial'!$C$5:$O$46,2))</f>
        <v/>
      </c>
      <c r="F61" s="61" t="str">
        <f>IF(A61&gt;'Time Trial'!$C$48,"",VLOOKUP(A61,'Time Trial'!$C$5:$O$46,4))</f>
        <v/>
      </c>
      <c r="G61" s="61" t="str">
        <f>(IF(A61&gt;'Time Trial'!$C$48,"",VLOOKUP(A61,'Time Trial'!$C$5:$O$46,5)))</f>
        <v/>
      </c>
      <c r="H61" s="61" t="str">
        <f>(IF(A61&gt;'Time Trial'!$C$48,"",VLOOKUP(A61,'Time Trial'!$C$5:$O$46,6)))</f>
        <v/>
      </c>
      <c r="I61" s="134" t="str">
        <f>IF(H61="","",IF(H61="M",VLOOKUP(F61,$X$24:$Z$31,2)*VLOOKUP(G61,$AB$3:$AD$19,3),IF(H61="F",VLOOKUP(F61,$X$24:$Z$31,3)*VLOOKUP(G61,$AB$3:$AD$19,3))))</f>
        <v/>
      </c>
      <c r="J61" s="136" t="str">
        <f>IF(OR(I61="",I62="")=TRUE,"",IF(I61-I62&lt;=0,"",I61-I62))</f>
        <v/>
      </c>
      <c r="K61" s="137" t="str">
        <f>IF(J61="","",IF(J61=0,"","head start"))</f>
        <v/>
      </c>
      <c r="L61" s="128"/>
    </row>
    <row r="62" spans="1:12" x14ac:dyDescent="0.25">
      <c r="A62" s="61">
        <f>A50+8</f>
        <v>39</v>
      </c>
      <c r="B62" s="184"/>
      <c r="C62" s="190"/>
      <c r="D62" s="122" t="str">
        <f>IF(A62&gt;'Time Trial'!$C$48,"",VLOOKUP(A62,'Time Trial'!$C$5:$O$46,3))</f>
        <v/>
      </c>
      <c r="E62" s="61" t="str">
        <f>IF(A62&gt;'Time Trial'!$C$48,"",VLOOKUP(A62,'Time Trial'!$C$5:$O$46,2))</f>
        <v/>
      </c>
      <c r="F62" s="61" t="str">
        <f>IF(A62&gt;'Time Trial'!$C$48,"",VLOOKUP(A62,'Time Trial'!$C$5:$O$46,4))</f>
        <v/>
      </c>
      <c r="G62" s="61" t="str">
        <f>(IF(A62&gt;'Time Trial'!$C$48,"",VLOOKUP(A62,'Time Trial'!$C$5:$O$46,5)))</f>
        <v/>
      </c>
      <c r="H62" s="61" t="str">
        <f>(IF(A62&gt;'Time Trial'!$C$48,"",VLOOKUP(A62,'Time Trial'!$C$5:$O$46,6)))</f>
        <v/>
      </c>
      <c r="I62" s="134" t="str">
        <f>IF(H62="","",IF(H62="M",VLOOKUP(F62,$X$24:$Z$31,2)*VLOOKUP(G62,$AB$3:$AD$19,3),IF(H62="F",VLOOKUP(F62,$X$24:$Z$31,3)*VLOOKUP(G62,$AB$3:$AD$19,3))))</f>
        <v/>
      </c>
      <c r="J62" s="139" t="str">
        <f>IF(OR(I61="",I62="")=TRUE,"",IF(I62-I61&lt;=0,"",I62-I61))</f>
        <v/>
      </c>
      <c r="K62" s="140" t="str">
        <f>IF(J62="","",IF(J62=0,"","head start"))</f>
        <v/>
      </c>
      <c r="L62" s="129"/>
    </row>
  </sheetData>
  <mergeCells count="44">
    <mergeCell ref="B59:B62"/>
    <mergeCell ref="C35:C36"/>
    <mergeCell ref="C37:C38"/>
    <mergeCell ref="B5:B8"/>
    <mergeCell ref="B11:B14"/>
    <mergeCell ref="B17:B20"/>
    <mergeCell ref="B23:B26"/>
    <mergeCell ref="B29:B32"/>
    <mergeCell ref="B35:B38"/>
    <mergeCell ref="C29:C30"/>
    <mergeCell ref="C31:C32"/>
    <mergeCell ref="B41:B44"/>
    <mergeCell ref="B47:B50"/>
    <mergeCell ref="B53:B56"/>
    <mergeCell ref="C5:C6"/>
    <mergeCell ref="C7:C8"/>
    <mergeCell ref="C25:C26"/>
    <mergeCell ref="C53:C54"/>
    <mergeCell ref="C55:C56"/>
    <mergeCell ref="Y1:Z1"/>
    <mergeCell ref="J10:K10"/>
    <mergeCell ref="J22:K22"/>
    <mergeCell ref="J52:K52"/>
    <mergeCell ref="J40:K40"/>
    <mergeCell ref="C11:C12"/>
    <mergeCell ref="C13:C14"/>
    <mergeCell ref="C17:C18"/>
    <mergeCell ref="C19:C20"/>
    <mergeCell ref="C23:C24"/>
    <mergeCell ref="AA1:AB1"/>
    <mergeCell ref="Y22:Z22"/>
    <mergeCell ref="J34:K34"/>
    <mergeCell ref="AC2:AD2"/>
    <mergeCell ref="J4:K4"/>
    <mergeCell ref="J16:K16"/>
    <mergeCell ref="J28:K28"/>
    <mergeCell ref="J58:K58"/>
    <mergeCell ref="C59:C60"/>
    <mergeCell ref="C61:C62"/>
    <mergeCell ref="C41:C42"/>
    <mergeCell ref="C43:C44"/>
    <mergeCell ref="J46:K46"/>
    <mergeCell ref="C47:C48"/>
    <mergeCell ref="C49:C50"/>
  </mergeCells>
  <phoneticPr fontId="7" type="noConversion"/>
  <conditionalFormatting sqref="J5:K8 J11:K14 J17:K20 J23:K26 J29:K32 J35:K38 J41:K44 J47:K50 J53:K56 J59:K62">
    <cfRule type="notContainsBlanks" dxfId="1" priority="1">
      <formula>LEN(TRIM(J5))&gt;0</formula>
    </cfRule>
  </conditionalFormatting>
  <dataValidations count="1">
    <dataValidation type="list" allowBlank="1" showInputMessage="1" showErrorMessage="1" sqref="L23:L26 L11:L14 L5:L8 L17:L20 L29:L32 L35:L38 L41:L44 L47:L50 L53:L56 L59:L62" xr:uid="{00000000-0002-0000-0100-000000000000}">
      <formula1>"W,L"</formula1>
    </dataValidation>
  </dataValidations>
  <pageMargins left="0.7" right="0.7" top="0.75" bottom="0.75" header="0.3" footer="0.3"/>
  <pageSetup paperSize="9" scale="91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2"/>
  <sheetViews>
    <sheetView zoomScaleNormal="150" workbookViewId="0">
      <selection activeCell="M26" sqref="M26"/>
    </sheetView>
  </sheetViews>
  <sheetFormatPr defaultColWidth="8.85546875" defaultRowHeight="15" x14ac:dyDescent="0.25"/>
  <cols>
    <col min="1" max="2" width="11.42578125" style="114" customWidth="1"/>
    <col min="3" max="3" width="14" style="103" customWidth="1"/>
    <col min="4" max="4" width="7.85546875" style="114" customWidth="1"/>
    <col min="5" max="5" width="8" style="125" customWidth="1"/>
    <col min="6" max="6" width="4.7109375" bestFit="1" customWidth="1"/>
    <col min="7" max="7" width="4.7109375" customWidth="1"/>
    <col min="8" max="8" width="4" bestFit="1" customWidth="1"/>
    <col min="9" max="9" width="8.7109375" hidden="1" customWidth="1"/>
    <col min="10" max="10" width="5.42578125" bestFit="1" customWidth="1"/>
    <col min="11" max="11" width="12.85546875" customWidth="1"/>
    <col min="12" max="12" width="12.42578125" customWidth="1"/>
    <col min="24" max="24" width="3.85546875" hidden="1" customWidth="1"/>
    <col min="25" max="26" width="12.140625" hidden="1" customWidth="1"/>
    <col min="27" max="27" width="0" hidden="1" customWidth="1"/>
    <col min="28" max="28" width="4.140625" hidden="1" customWidth="1"/>
    <col min="29" max="30" width="5.28515625" hidden="1" customWidth="1"/>
  </cols>
  <sheetData>
    <row r="1" spans="1:30" x14ac:dyDescent="0.25">
      <c r="A1" s="179"/>
      <c r="B1" s="179"/>
      <c r="D1" s="179"/>
      <c r="Y1" s="191" t="s">
        <v>38</v>
      </c>
      <c r="Z1" s="191"/>
      <c r="AA1" s="191"/>
      <c r="AB1" s="191"/>
    </row>
    <row r="2" spans="1:30" x14ac:dyDescent="0.25">
      <c r="A2" s="127"/>
      <c r="B2" s="127"/>
      <c r="C2" s="104" t="s">
        <v>39</v>
      </c>
      <c r="D2" s="61">
        <f>'Time Trial'!E1</f>
        <v>4400</v>
      </c>
      <c r="E2" s="126"/>
      <c r="J2" s="62">
        <f>SEMI!J2</f>
        <v>2.2000000000000002</v>
      </c>
      <c r="K2" s="64"/>
      <c r="Y2" s="179" t="s">
        <v>19</v>
      </c>
      <c r="Z2" s="179" t="s">
        <v>20</v>
      </c>
      <c r="AB2" s="26" t="s">
        <v>8</v>
      </c>
      <c r="AC2" s="198" t="s">
        <v>24</v>
      </c>
      <c r="AD2" s="199"/>
    </row>
    <row r="3" spans="1:30" x14ac:dyDescent="0.25">
      <c r="A3" s="179"/>
      <c r="B3" s="179"/>
      <c r="D3" s="179"/>
      <c r="X3" t="str">
        <f>'Time Trial'!Y5</f>
        <v>1x</v>
      </c>
      <c r="Y3" s="56">
        <f>'Time Trial'!Z5</f>
        <v>399.5308555704998</v>
      </c>
      <c r="Z3" s="56">
        <f>'Time Trial'!AA5</f>
        <v>444.46914442950026</v>
      </c>
      <c r="AB3" s="26">
        <f>'Base Data'!K41</f>
        <v>7</v>
      </c>
      <c r="AC3" s="170">
        <f>'Base Data'!N41</f>
        <v>0.82671587139995406</v>
      </c>
      <c r="AD3" s="170">
        <f>'Base Data'!O41</f>
        <v>1.2096054213966014</v>
      </c>
    </row>
    <row r="4" spans="1:30" x14ac:dyDescent="0.25">
      <c r="A4" s="26" t="s">
        <v>40</v>
      </c>
      <c r="B4" s="26" t="s">
        <v>41</v>
      </c>
      <c r="C4" s="105" t="s">
        <v>42</v>
      </c>
      <c r="D4" s="26" t="s">
        <v>43</v>
      </c>
      <c r="E4" s="87" t="s">
        <v>5</v>
      </c>
      <c r="F4" s="61" t="s">
        <v>44</v>
      </c>
      <c r="G4" s="61" t="s">
        <v>8</v>
      </c>
      <c r="H4" s="61" t="s">
        <v>9</v>
      </c>
      <c r="I4" s="61"/>
      <c r="J4" s="198" t="s">
        <v>15</v>
      </c>
      <c r="K4" s="199"/>
      <c r="L4" s="81" t="s">
        <v>45</v>
      </c>
      <c r="X4" t="str">
        <f>'Time Trial'!Y6</f>
        <v>2-</v>
      </c>
      <c r="Y4" s="56">
        <f>'Time Trial'!Z6</f>
        <v>387.507059680108</v>
      </c>
      <c r="Z4" s="56">
        <f>'Time Trial'!AA6</f>
        <v>431.09294031989208</v>
      </c>
      <c r="AB4" s="26">
        <f>'Base Data'!K42</f>
        <v>8</v>
      </c>
      <c r="AC4" s="170">
        <f>'Base Data'!N42</f>
        <v>0.87648270992742439</v>
      </c>
      <c r="AD4" s="170">
        <f>'Base Data'!O42</f>
        <v>1.1409238182037877</v>
      </c>
    </row>
    <row r="5" spans="1:30" ht="14.1" customHeight="1" x14ac:dyDescent="0.25">
      <c r="A5" s="142" t="str">
        <f>IF(SEMI!L5="","",IF(SEMI!L5="W",SEMI!A5,IF(SEMI!L6="","",SEMI!A6)))</f>
        <v/>
      </c>
      <c r="B5" s="182" t="str">
        <f>IF(COUNTIF(C5,"")=1,"","1st to 2nd")</f>
        <v/>
      </c>
      <c r="C5" s="189" t="str">
        <f>IF(AND(NOT(D5="")=TRUE,NOT(D6="")=TRUE)=TRUE,MAX(SEMI!C5:C62)+1,"")</f>
        <v/>
      </c>
      <c r="D5" s="143" t="str">
        <f>IF(A5&gt;'Time Trial'!$C$48,"",VLOOKUP(A5,'Time Trial'!$C$5:$O$46,3))</f>
        <v/>
      </c>
      <c r="E5" s="61" t="str">
        <f>IF(A5&gt;'Time Trial'!$C$48,"",VLOOKUP(A5,'Time Trial'!$C$5:$O$46,2))</f>
        <v/>
      </c>
      <c r="F5" s="94" t="str">
        <f>IF(A5&gt;'Time Trial'!$C$48,"",VLOOKUP(A5,'Time Trial'!$C$5:$O$46,4))</f>
        <v/>
      </c>
      <c r="G5" s="94" t="str">
        <f>(IF(A5&gt;'Time Trial'!$C$48,"",VLOOKUP(A5,'Time Trial'!$C$5:$O$46,5)))</f>
        <v/>
      </c>
      <c r="H5" s="94" t="str">
        <f>(IF(A5&gt;'Time Trial'!$C$48,"",VLOOKUP(A5,'Time Trial'!$C$5:$O$46,6)))</f>
        <v/>
      </c>
      <c r="I5" s="95" t="str">
        <f>IF(H5="","",IF(H5="M",VLOOKUP(F5,$X$24:$Z$31,2)*VLOOKUP(G5,$AB$3:$AD$19,3),IF(H5="F",VLOOKUP(F5,$X$24:$Z$31,3)*VLOOKUP(G5,$AB$3:$AD$19,3))))</f>
        <v/>
      </c>
      <c r="J5" s="135" t="str">
        <f>IF(OR(I5="",I6="")=TRUE,"",IF(I5-I6&lt;=0,"",I5-I6))</f>
        <v/>
      </c>
      <c r="K5" s="131" t="str">
        <f>IF(J5="","",IF(J5=0,"","head start"))</f>
        <v/>
      </c>
      <c r="L5" s="82"/>
      <c r="X5" t="str">
        <f>'Time Trial'!Y7</f>
        <v>2x</v>
      </c>
      <c r="Y5" s="56">
        <f>'Time Trial'!Z7</f>
        <v>372.26429481118606</v>
      </c>
      <c r="Z5" s="56">
        <f>'Time Trial'!AA7</f>
        <v>414.13570518881397</v>
      </c>
      <c r="AB5" s="26">
        <f>'Base Data'!K43</f>
        <v>9</v>
      </c>
      <c r="AC5" s="170">
        <f>'Base Data'!N43</f>
        <v>0.91814718728448996</v>
      </c>
      <c r="AD5" s="170">
        <f>'Base Data'!O43</f>
        <v>1.0891499901639929</v>
      </c>
    </row>
    <row r="6" spans="1:30" x14ac:dyDescent="0.25">
      <c r="A6" s="142" t="str">
        <f>IF(SEMI!L7="","",IF(SEMI!L7="W",SEMI!A7,IF(SEMI!L8="","",SEMI!A8)))</f>
        <v/>
      </c>
      <c r="B6" s="183"/>
      <c r="C6" s="190"/>
      <c r="D6" s="144" t="str">
        <f>IF(A6&gt;'Time Trial'!$C$48,"",VLOOKUP(A6,'Time Trial'!$C$5:$O$46,3))</f>
        <v/>
      </c>
      <c r="E6" s="61" t="str">
        <f>IF(A6&gt;'Time Trial'!$C$48,"",VLOOKUP(A6,'Time Trial'!$C$5:$O$46,2))</f>
        <v/>
      </c>
      <c r="F6" s="94" t="str">
        <f>IF(A6&gt;'Time Trial'!$C$48,"",VLOOKUP(A6,'Time Trial'!$C$5:$O$46,4))</f>
        <v/>
      </c>
      <c r="G6" s="94" t="str">
        <f>(IF(A6&gt;'Time Trial'!$C$48,"",VLOOKUP(A6,'Time Trial'!$C$5:$O$46,5)))</f>
        <v/>
      </c>
      <c r="H6" s="94" t="str">
        <f>(IF(A6&gt;'Time Trial'!$C$48,"",VLOOKUP(A6,'Time Trial'!$C$5:$O$46,6)))</f>
        <v/>
      </c>
      <c r="I6" s="95" t="str">
        <f>IF(H6="","",IF(H6="M",VLOOKUP(F6,$X$24:$Z$31,2)*VLOOKUP(G6,$AB$3:$AD$19,3),IF(H6="F",VLOOKUP(F6,$X$24:$Z$31,3)*VLOOKUP(G6,$AB$3:$AD$19,3))))</f>
        <v/>
      </c>
      <c r="J6" s="139" t="str">
        <f>IF(OR(I5="",I6="")=TRUE,"",IF(I6-I5&lt;=0,"",I6-I5))</f>
        <v/>
      </c>
      <c r="K6" s="140" t="str">
        <f t="shared" ref="K6:K14" si="0">IF(J6="","",IF(J6=0,"","head start"))</f>
        <v/>
      </c>
      <c r="L6" s="83"/>
      <c r="X6" t="str">
        <f>'Time Trial'!Y8</f>
        <v>4-</v>
      </c>
      <c r="Y6" s="56">
        <f>'Time Trial'!Z8</f>
        <v>354.65464098746264</v>
      </c>
      <c r="Z6" s="56">
        <f>'Time Trial'!AA8</f>
        <v>394.54535901253746</v>
      </c>
      <c r="AB6" s="26">
        <f>'Base Data'!K44</f>
        <v>10</v>
      </c>
      <c r="AC6" s="170">
        <f>'Base Data'!N44</f>
        <v>0.93948474598535348</v>
      </c>
      <c r="AD6" s="170">
        <f>'Base Data'!O44</f>
        <v>1.0644132374402488</v>
      </c>
    </row>
    <row r="7" spans="1:30" x14ac:dyDescent="0.25">
      <c r="A7" s="130" t="str">
        <f>IF(SEMI!L5="","",IF(SEMI!L5="L",SEMI!A5,IF(SEMI!L6="","",SEMI!A6)))</f>
        <v/>
      </c>
      <c r="B7" s="182" t="str">
        <f>IF(COUNTIF(C7,"")=1,"","3rd to 4th")</f>
        <v/>
      </c>
      <c r="C7" s="189" t="str">
        <f>IF(AND(NOT(D7="")=TRUE,NOT(D8="")=TRUE)=TRUE,MAX(C5)+1,"")</f>
        <v/>
      </c>
      <c r="D7" s="145" t="str">
        <f>IF(A7&gt;'Time Trial'!$C$48,"",VLOOKUP(A7,'Time Trial'!$C$5:$O$46,3))</f>
        <v/>
      </c>
      <c r="E7" s="61" t="str">
        <f>IF(A7&gt;'Time Trial'!$C$48,"",VLOOKUP(A7,'Time Trial'!$C$5:$O$46,2))</f>
        <v/>
      </c>
      <c r="F7" s="94" t="str">
        <f>IF(A7&gt;'Time Trial'!$C$48,"",VLOOKUP(A7,'Time Trial'!$C$5:$O$46,4))</f>
        <v/>
      </c>
      <c r="G7" s="94" t="str">
        <f>(IF(A7&gt;'Time Trial'!$C$48,"",VLOOKUP(A7,'Time Trial'!$C$5:$O$46,5)))</f>
        <v/>
      </c>
      <c r="H7" s="94" t="str">
        <f>(IF(A7&gt;'Time Trial'!$C$48,"",VLOOKUP(A7,'Time Trial'!$C$5:$O$46,6)))</f>
        <v/>
      </c>
      <c r="I7" s="95" t="str">
        <f>IF(H7="","",IF(H7="M",VLOOKUP(F7,$X$24:$Z$31,2)*VLOOKUP(G7,$AB$3:$AD$19,3),IF(H7="F",VLOOKUP(F7,$X$24:$Z$31,3)*VLOOKUP(G7,$AB$3:$AD$19,3))))</f>
        <v/>
      </c>
      <c r="J7" s="138" t="str">
        <f>IF(OR(I7="",I8="")=TRUE,"",IF(I7-I8&lt;=0,"",I7-I8))</f>
        <v/>
      </c>
      <c r="K7" s="132" t="str">
        <f t="shared" si="0"/>
        <v/>
      </c>
      <c r="L7" s="82"/>
      <c r="X7" t="str">
        <f>'Time Trial'!Y9</f>
        <v>4+</v>
      </c>
      <c r="Y7" s="56">
        <f>'Time Trial'!Z9</f>
        <v>367.71986801796709</v>
      </c>
      <c r="Z7" s="56">
        <f>'Time Trial'!AA9</f>
        <v>409.08013198203292</v>
      </c>
      <c r="AB7" s="26">
        <f>'Base Data'!K45</f>
        <v>11</v>
      </c>
      <c r="AC7" s="170">
        <f>'Base Data'!N45</f>
        <v>0.95555893074119069</v>
      </c>
      <c r="AD7" s="170">
        <f>'Base Data'!O45</f>
        <v>1.0465079314619958</v>
      </c>
    </row>
    <row r="8" spans="1:30" x14ac:dyDescent="0.25">
      <c r="A8" s="133" t="str">
        <f>IF(SEMI!L7="","",IF(SEMI!L7="L",SEMI!A7,IF(SEMI!L8="","",SEMI!A8)))</f>
        <v/>
      </c>
      <c r="B8" s="184"/>
      <c r="C8" s="190"/>
      <c r="D8" s="144" t="str">
        <f>IF(A8&gt;'Time Trial'!$C$48,"",VLOOKUP(A8,'Time Trial'!$C$5:$O$46,3))</f>
        <v/>
      </c>
      <c r="E8" s="61" t="str">
        <f>IF(A8&gt;'Time Trial'!$C$48,"",VLOOKUP(A8,'Time Trial'!$C$5:$O$46,2))</f>
        <v/>
      </c>
      <c r="F8" s="94" t="str">
        <f>IF(A8&gt;'Time Trial'!$C$48,"",VLOOKUP(A8,'Time Trial'!$C$5:$O$46,4))</f>
        <v/>
      </c>
      <c r="G8" s="94" t="str">
        <f>(IF(A8&gt;'Time Trial'!$C$48,"",VLOOKUP(A8,'Time Trial'!$C$5:$O$46,5)))</f>
        <v/>
      </c>
      <c r="H8" s="94" t="str">
        <f>(IF(A8&gt;'Time Trial'!$C$48,"",VLOOKUP(A8,'Time Trial'!$C$5:$O$46,6)))</f>
        <v/>
      </c>
      <c r="I8" s="95" t="str">
        <f>IF(H8="","",IF(H8="M",VLOOKUP(F8,$X$24:$Z$31,2)*VLOOKUP(G8,$AB$3:$AD$19,3),IF(H8="F",VLOOKUP(F8,$X$24:$Z$31,3)*VLOOKUP(G8,$AB$3:$AD$19,3))))</f>
        <v/>
      </c>
      <c r="J8" s="138" t="str">
        <f>IF(OR(I7="",I8="")=TRUE,"",IF(I8-I7&lt;=0,"",I8-I7))</f>
        <v/>
      </c>
      <c r="K8" s="132" t="str">
        <f t="shared" si="0"/>
        <v/>
      </c>
      <c r="L8" s="83"/>
      <c r="X8" t="str">
        <f>'Time Trial'!Y10</f>
        <v>4x</v>
      </c>
      <c r="Y8" s="56">
        <f>'Time Trial'!Z10</f>
        <v>347.45929856486595</v>
      </c>
      <c r="Z8" s="56">
        <f>'Time Trial'!AA10</f>
        <v>386.54070143513411</v>
      </c>
      <c r="AB8" s="26">
        <v>12</v>
      </c>
      <c r="AC8" s="170">
        <f>'Base Data'!N46</f>
        <v>0.96528521230829867</v>
      </c>
      <c r="AD8" s="170">
        <f>'Base Data'!O46</f>
        <v>1.0359632440744506</v>
      </c>
    </row>
    <row r="9" spans="1:30" x14ac:dyDescent="0.25">
      <c r="A9" s="163"/>
      <c r="B9" s="124"/>
      <c r="C9" s="106"/>
      <c r="D9" s="163"/>
      <c r="E9" s="126"/>
      <c r="F9" s="171"/>
      <c r="G9" s="171"/>
      <c r="H9" s="171"/>
      <c r="I9" s="167"/>
      <c r="J9" s="100"/>
      <c r="K9" s="100"/>
      <c r="L9" s="163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t="str">
        <f>'Time Trial'!Y11</f>
        <v>4x+</v>
      </c>
      <c r="Y9" s="56">
        <f>'Time Trial'!Z11</f>
        <v>362.51271231740367</v>
      </c>
      <c r="Z9" s="56">
        <f>'Time Trial'!AA11</f>
        <v>403.28728768259629</v>
      </c>
      <c r="AA9" s="167"/>
      <c r="AB9" s="26">
        <f>'Base Data'!K47</f>
        <v>13</v>
      </c>
      <c r="AC9" s="170">
        <f>'Base Data'!N47</f>
        <v>0.97386456930806875</v>
      </c>
      <c r="AD9" s="170">
        <f>'Base Data'!O47</f>
        <v>1.0268368226092264</v>
      </c>
    </row>
    <row r="10" spans="1:30" x14ac:dyDescent="0.25">
      <c r="A10" s="26" t="s">
        <v>40</v>
      </c>
      <c r="B10" s="26" t="s">
        <v>41</v>
      </c>
      <c r="C10" s="160" t="s">
        <v>42</v>
      </c>
      <c r="D10" s="180" t="s">
        <v>43</v>
      </c>
      <c r="E10" s="87" t="s">
        <v>5</v>
      </c>
      <c r="F10" s="61" t="s">
        <v>44</v>
      </c>
      <c r="G10" s="61" t="s">
        <v>8</v>
      </c>
      <c r="H10" s="61" t="s">
        <v>9</v>
      </c>
      <c r="I10" s="161"/>
      <c r="J10" s="195" t="s">
        <v>15</v>
      </c>
      <c r="K10" s="197"/>
      <c r="L10" s="178" t="s">
        <v>45</v>
      </c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t="str">
        <f>'Time Trial'!Y12</f>
        <v>8+</v>
      </c>
      <c r="Y10" s="56">
        <f>'Time Trial'!Z12</f>
        <v>329.47094250837421</v>
      </c>
      <c r="Z10" s="56">
        <f>'Time Trial'!AA12</f>
        <v>366.52905749162579</v>
      </c>
      <c r="AA10" s="162"/>
      <c r="AB10" s="26" t="str">
        <f>'Base Data'!K48</f>
        <v>A</v>
      </c>
      <c r="AC10" s="170">
        <f>'Base Data'!N48</f>
        <v>1</v>
      </c>
      <c r="AD10" s="170">
        <f>'Base Data'!O48</f>
        <v>1</v>
      </c>
    </row>
    <row r="11" spans="1:30" x14ac:dyDescent="0.25">
      <c r="A11" s="130" t="str">
        <f>IF(SEMI!L11="","",IF(SEMI!L11="W",SEMI!A11,IF(SEMI!L12="","",SEMI!A12)))</f>
        <v/>
      </c>
      <c r="B11" s="182" t="str">
        <f>IF(COUNTIF(C11,"")=1,"","5th to 6th")</f>
        <v/>
      </c>
      <c r="C11" s="189" t="str">
        <f>IF(AND(NOT(D11="")=TRUE,NOT(D12="")=TRUE)=TRUE,MAX(C5:C8)+1,"")</f>
        <v/>
      </c>
      <c r="D11" s="146" t="str">
        <f>IF(A11&gt;'Time Trial'!$C$48,"",VLOOKUP(A11,'Time Trial'!$C$5:$O$46,3))</f>
        <v/>
      </c>
      <c r="E11" s="61" t="str">
        <f>IF(A11&gt;'Time Trial'!$C$48,"",VLOOKUP(A11,'Time Trial'!$C$5:$O$46,2))</f>
        <v/>
      </c>
      <c r="F11" s="94" t="str">
        <f>IF(A11&gt;'Time Trial'!$C$48,"",VLOOKUP(A11,'Time Trial'!$C$5:$O$46,4))</f>
        <v/>
      </c>
      <c r="G11" s="94" t="str">
        <f>(IF(A11&gt;'Time Trial'!$C$48,"",VLOOKUP(A11,'Time Trial'!$C$5:$O$46,5)))</f>
        <v/>
      </c>
      <c r="H11" s="94" t="str">
        <f>(IF(A11&gt;'Time Trial'!$C$48,"",VLOOKUP(A11,'Time Trial'!$C$5:$O$46,6)))</f>
        <v/>
      </c>
      <c r="I11" s="95" t="str">
        <f>IF(H11="","",IF(H11="M",VLOOKUP(F11,$X$24:$Z$31,2)*VLOOKUP(G11,$AB$3:$AD$19,3),IF(H11="F",VLOOKUP(F11,$X$24:$Z$31,3)*VLOOKUP(G11,$AB$3:$AD$19,3))))</f>
        <v/>
      </c>
      <c r="J11" s="141" t="str">
        <f>IF(OR(I11="",I12="")=TRUE,"",IF(I11-I12&lt;=0,"",I11-I12))</f>
        <v/>
      </c>
      <c r="K11" s="140" t="str">
        <f t="shared" si="0"/>
        <v/>
      </c>
      <c r="L11" s="82"/>
      <c r="Y11" s="56"/>
      <c r="Z11" s="56"/>
      <c r="AB11" s="26" t="str">
        <f>'Base Data'!K49</f>
        <v>B</v>
      </c>
      <c r="AC11" s="170">
        <f>'Base Data'!N49</f>
        <v>0.98933333333333329</v>
      </c>
      <c r="AD11" s="170">
        <f>'Base Data'!O49</f>
        <v>1.0107816711590296</v>
      </c>
    </row>
    <row r="12" spans="1:30" x14ac:dyDescent="0.25">
      <c r="A12" s="133" t="str">
        <f>IF(SEMI!L13="","",IF(SEMI!L13="W",SEMI!A13,IF(SEMI!L14="","",SEMI!A14)))</f>
        <v/>
      </c>
      <c r="B12" s="183"/>
      <c r="C12" s="190"/>
      <c r="D12" s="147" t="str">
        <f>IF(A12&gt;'Time Trial'!$C$48,"",VLOOKUP(A12,'Time Trial'!$C$5:$O$46,3))</f>
        <v/>
      </c>
      <c r="E12" s="61" t="str">
        <f>IF(A12&gt;'Time Trial'!$C$48,"",VLOOKUP(A12,'Time Trial'!$C$5:$O$46,2))</f>
        <v/>
      </c>
      <c r="F12" s="94" t="str">
        <f>IF(A12&gt;'Time Trial'!$C$48,"",VLOOKUP(A12,'Time Trial'!$C$5:$O$46,4))</f>
        <v/>
      </c>
      <c r="G12" s="94" t="str">
        <f>(IF(A12&gt;'Time Trial'!$C$48,"",VLOOKUP(A12,'Time Trial'!$C$5:$O$46,5)))</f>
        <v/>
      </c>
      <c r="H12" s="94" t="str">
        <f>(IF(A12&gt;'Time Trial'!$C$48,"",VLOOKUP(A12,'Time Trial'!$C$5:$O$46,6)))</f>
        <v/>
      </c>
      <c r="I12" s="95" t="str">
        <f>IF(H12="","",IF(H12="M",VLOOKUP(F12,$X$24:$Z$31,2)*VLOOKUP(G12,$AB$3:$AD$19,3),IF(H12="F",VLOOKUP(F12,$X$24:$Z$31,3)*VLOOKUP(G12,$AB$3:$AD$19,3))))</f>
        <v/>
      </c>
      <c r="J12" s="136" t="str">
        <f>IF(OR(I11="",I12="")=TRUE,"",IF(I12-I11&lt;=0,"",I12-I11))</f>
        <v/>
      </c>
      <c r="K12" s="137" t="str">
        <f t="shared" si="0"/>
        <v/>
      </c>
      <c r="L12" s="83"/>
      <c r="X12" t="str">
        <f>'Time Trial'!Y14</f>
        <v>1x</v>
      </c>
      <c r="Y12">
        <f>'Time Trial'!Z14</f>
        <v>970.96903155658924</v>
      </c>
      <c r="Z12">
        <f>'Time Trial'!AA14</f>
        <v>1080.1813394543819</v>
      </c>
      <c r="AB12" s="26" t="str">
        <f>'Base Data'!K50</f>
        <v>C</v>
      </c>
      <c r="AC12" s="170">
        <f>'Base Data'!N50</f>
        <v>0.97599999999999998</v>
      </c>
      <c r="AD12" s="170">
        <f>'Base Data'!O50</f>
        <v>1.0245901639344261</v>
      </c>
    </row>
    <row r="13" spans="1:30" x14ac:dyDescent="0.25">
      <c r="A13" s="130" t="str">
        <f>IF(SEMI!L11="","",IF(SEMI!L11="L",SEMI!A11,IF(SEMI!L12="","",SEMI!A12)))</f>
        <v/>
      </c>
      <c r="B13" s="182" t="str">
        <f>IF(COUNTIF(C13,"")=1,"","7th to 8th")</f>
        <v/>
      </c>
      <c r="C13" s="189" t="str">
        <f>IF(AND(NOT(D13="")=TRUE,NOT(D14="")=TRUE)=TRUE,MAX(C5:C12)+1,"")</f>
        <v/>
      </c>
      <c r="D13" s="145" t="str">
        <f>IF(A13&gt;'Time Trial'!$C$48,"",VLOOKUP(A13,'Time Trial'!$C$5:$O$46,3))</f>
        <v/>
      </c>
      <c r="E13" s="61" t="str">
        <f>IF(A13&gt;'Time Trial'!$C$48,"",VLOOKUP(A13,'Time Trial'!$C$5:$O$46,2))</f>
        <v/>
      </c>
      <c r="F13" s="94" t="str">
        <f>IF(A13&gt;'Time Trial'!$C$48,"",VLOOKUP(A13,'Time Trial'!$C$5:$O$46,4))</f>
        <v/>
      </c>
      <c r="G13" s="94" t="str">
        <f>(IF(A13&gt;'Time Trial'!$C$48,"",VLOOKUP(A13,'Time Trial'!$C$5:$O$46,5)))</f>
        <v/>
      </c>
      <c r="H13" s="94" t="str">
        <f>(IF(A13&gt;'Time Trial'!$C$48,"",VLOOKUP(A13,'Time Trial'!$C$5:$O$46,6)))</f>
        <v/>
      </c>
      <c r="I13" s="95" t="str">
        <f>IF(H13="","",IF(H13="M",VLOOKUP(F13,$X$24:$Z$31,2)*VLOOKUP(G13,$AB$3:$AD$19,3),IF(H13="F",VLOOKUP(F13,$X$24:$Z$31,3)*VLOOKUP(G13,$AB$3:$AD$19,3))))</f>
        <v/>
      </c>
      <c r="J13" s="139" t="str">
        <f>IF(OR(I13="",I14="")=TRUE,"",IF(I13-I14&lt;=0,"",I13-I14))</f>
        <v/>
      </c>
      <c r="K13" s="140" t="str">
        <f t="shared" si="0"/>
        <v/>
      </c>
      <c r="L13" s="82"/>
      <c r="X13" t="str">
        <f>'Time Trial'!Y15</f>
        <v>2-</v>
      </c>
      <c r="Y13">
        <f>'Time Trial'!Z15</f>
        <v>941.74792563059714</v>
      </c>
      <c r="Z13">
        <f>'Time Trial'!AA15</f>
        <v>1047.6735124139302</v>
      </c>
      <c r="AB13" s="26" t="str">
        <f>'Base Data'!K51</f>
        <v>D</v>
      </c>
      <c r="AC13" s="170">
        <f>'Base Data'!N51</f>
        <v>0.95766666666666667</v>
      </c>
      <c r="AD13" s="170">
        <f>'Base Data'!O51</f>
        <v>1.0442046641141665</v>
      </c>
    </row>
    <row r="14" spans="1:30" x14ac:dyDescent="0.25">
      <c r="A14" s="133" t="str">
        <f>IF(SEMI!L13="","",IF(SEMI!L13="L",SEMI!A13,IF(SEMI!L14="","",SEMI!A14)))</f>
        <v/>
      </c>
      <c r="B14" s="184"/>
      <c r="C14" s="190"/>
      <c r="D14" s="144" t="str">
        <f>IF(A14&gt;'Time Trial'!$C$48,"",VLOOKUP(A14,'Time Trial'!$C$5:$O$46,3))</f>
        <v/>
      </c>
      <c r="E14" s="61" t="str">
        <f>IF(A14&gt;'Time Trial'!$C$48,"",VLOOKUP(A14,'Time Trial'!$C$5:$O$46,2))</f>
        <v/>
      </c>
      <c r="F14" s="94" t="str">
        <f>IF(A14&gt;'Time Trial'!$C$48,"",VLOOKUP(A14,'Time Trial'!$C$5:$O$46,4))</f>
        <v/>
      </c>
      <c r="G14" s="94" t="str">
        <f>(IF(A14&gt;'Time Trial'!$C$48,"",VLOOKUP(A14,'Time Trial'!$C$5:$O$46,5)))</f>
        <v/>
      </c>
      <c r="H14" s="94" t="str">
        <f>(IF(A14&gt;'Time Trial'!$C$48,"",VLOOKUP(A14,'Time Trial'!$C$5:$O$46,6)))</f>
        <v/>
      </c>
      <c r="I14" s="95" t="str">
        <f>IF(H14="","",IF(H14="M",VLOOKUP(F14,$X$24:$Z$31,2)*VLOOKUP(G14,$AB$3:$AD$19,3),IF(H14="F",VLOOKUP(F14,$X$24:$Z$31,3)*VLOOKUP(G14,$AB$3:$AD$19,3))))</f>
        <v/>
      </c>
      <c r="J14" s="138" t="str">
        <f>IF(OR(I13="",I14="")=TRUE,"",IF(I14-I13&lt;=0,"",I14-I13))</f>
        <v/>
      </c>
      <c r="K14" s="132" t="str">
        <f t="shared" si="0"/>
        <v/>
      </c>
      <c r="L14" s="83"/>
      <c r="X14" t="str">
        <f>'Time Trial'!Y16</f>
        <v>2x</v>
      </c>
      <c r="Y14">
        <f>'Time Trial'!Z16</f>
        <v>904.70384646457558</v>
      </c>
      <c r="Z14">
        <f>'Time Trial'!AA16</f>
        <v>1006.4628025437511</v>
      </c>
      <c r="AB14" s="26" t="str">
        <f>'Base Data'!K52</f>
        <v>E</v>
      </c>
      <c r="AC14" s="170">
        <f>'Base Data'!N52</f>
        <v>0.94033333333333335</v>
      </c>
      <c r="AD14" s="170">
        <f>'Base Data'!O52</f>
        <v>1.0634526763559022</v>
      </c>
    </row>
    <row r="15" spans="1:30" x14ac:dyDescent="0.25">
      <c r="A15" s="124"/>
      <c r="B15" s="124"/>
      <c r="C15" s="106"/>
      <c r="D15" s="124"/>
      <c r="E15" s="126"/>
      <c r="F15" s="59"/>
      <c r="G15" s="59"/>
      <c r="H15" s="59"/>
      <c r="I15" s="56"/>
      <c r="J15" s="101"/>
      <c r="K15" s="101"/>
      <c r="L15" s="179"/>
      <c r="X15" t="str">
        <f>'Time Trial'!Y17</f>
        <v>4-</v>
      </c>
      <c r="Y15">
        <f>'Time Trial'!Z17</f>
        <v>861.90758109265016</v>
      </c>
      <c r="Z15">
        <f>'Time Trial'!AA17</f>
        <v>958.85291412230208</v>
      </c>
      <c r="AB15" s="26" t="str">
        <f>'Base Data'!K53</f>
        <v>F</v>
      </c>
      <c r="AC15" s="170">
        <f>'Base Data'!N53</f>
        <v>0.92100000000000004</v>
      </c>
      <c r="AD15" s="170">
        <f>'Base Data'!O53</f>
        <v>1.0857763300760044</v>
      </c>
    </row>
    <row r="16" spans="1:30" x14ac:dyDescent="0.25">
      <c r="A16" s="26" t="s">
        <v>40</v>
      </c>
      <c r="B16" s="26" t="s">
        <v>41</v>
      </c>
      <c r="C16" s="105" t="s">
        <v>42</v>
      </c>
      <c r="D16" s="26" t="s">
        <v>43</v>
      </c>
      <c r="E16" s="87" t="s">
        <v>5</v>
      </c>
      <c r="F16" s="61" t="s">
        <v>44</v>
      </c>
      <c r="G16" s="61" t="s">
        <v>8</v>
      </c>
      <c r="H16" s="61" t="s">
        <v>9</v>
      </c>
      <c r="I16" s="61"/>
      <c r="J16" s="195" t="s">
        <v>15</v>
      </c>
      <c r="K16" s="196"/>
      <c r="L16" s="81" t="s">
        <v>45</v>
      </c>
      <c r="X16" t="str">
        <f>'Time Trial'!Y18</f>
        <v>4+</v>
      </c>
      <c r="Y16">
        <f>'Time Trial'!Z18</f>
        <v>893.65964894923991</v>
      </c>
      <c r="Z16">
        <f>'Time Trial'!AA18</f>
        <v>994.17637972531259</v>
      </c>
      <c r="AB16" s="26" t="str">
        <f>'Base Data'!K54</f>
        <v>G</v>
      </c>
      <c r="AC16" s="170">
        <f>'Base Data'!N54</f>
        <v>0.90033333333333332</v>
      </c>
      <c r="AD16" s="170">
        <f>'Base Data'!O54</f>
        <v>1.1106997408367272</v>
      </c>
    </row>
    <row r="17" spans="1:30" ht="14.1" customHeight="1" x14ac:dyDescent="0.25">
      <c r="A17" s="142" t="str">
        <f>IF(SEMI!L17="","",IF(SEMI!L17="W",SEMI!A17,IF(SEMI!L18="","",SEMI!A18)))</f>
        <v/>
      </c>
      <c r="B17" s="182" t="str">
        <f>IF(COUNTIF(C17,"")=1,"","9th to 10th")</f>
        <v/>
      </c>
      <c r="C17" s="189" t="str">
        <f>IF(AND(NOT(D17="")=TRUE,NOT(D18="")=TRUE)=TRUE,MAX(C5:C14)+1,"")</f>
        <v/>
      </c>
      <c r="D17" s="145" t="str">
        <f>IF(A17&gt;'Time Trial'!$C$48,"",VLOOKUP(A17,'Time Trial'!$C$5:$O$46,3))</f>
        <v/>
      </c>
      <c r="E17" s="61" t="str">
        <f>IF(A17&gt;'Time Trial'!$C$48,"",VLOOKUP(A17,'Time Trial'!$C$5:$O$46,2))</f>
        <v/>
      </c>
      <c r="F17" s="94" t="str">
        <f>IF(A17&gt;'Time Trial'!$C$48,"",VLOOKUP(A17,'Time Trial'!$C$5:$O$46,4))</f>
        <v/>
      </c>
      <c r="G17" s="94" t="str">
        <f>(IF(A17&gt;'Time Trial'!$C$48,"",VLOOKUP(A17,'Time Trial'!$C$5:$O$46,5)))</f>
        <v/>
      </c>
      <c r="H17" s="94" t="str">
        <f>(IF(A17&gt;'Time Trial'!$C$48,"",VLOOKUP(A17,'Time Trial'!$C$5:$O$46,6)))</f>
        <v/>
      </c>
      <c r="I17" s="95" t="str">
        <f>IF(H17="","",IF(H17="M",VLOOKUP(F17,$X$24:$Z$31,2)*VLOOKUP(G17,$AB$3:$AD$19,3),IF(H17="F",VLOOKUP(F17,$X$24:$Z$31,3)*VLOOKUP(G17,$AB$3:$AD$19,3))))</f>
        <v/>
      </c>
      <c r="J17" s="135" t="str">
        <f>IF(OR(I17="",I18="")=TRUE,"",IF(I17-I18&lt;=0,"",I17-I18))</f>
        <v/>
      </c>
      <c r="K17" s="131" t="str">
        <f>IF(J17="","",IF(J17=0,"","head start"))</f>
        <v/>
      </c>
      <c r="L17" s="82"/>
      <c r="X17" t="str">
        <f>'Time Trial'!Y19</f>
        <v>4x</v>
      </c>
      <c r="Y17">
        <f>'Time Trial'!Z19</f>
        <v>844.42093502670207</v>
      </c>
      <c r="Z17">
        <f>'Time Trial'!AA19</f>
        <v>939.39941132644117</v>
      </c>
      <c r="AB17" s="26" t="str">
        <f>'Base Data'!K55</f>
        <v>H</v>
      </c>
      <c r="AC17" s="170">
        <f>'Base Data'!N55</f>
        <v>0.8743333333333333</v>
      </c>
      <c r="AD17" s="170">
        <f>'Base Data'!O55</f>
        <v>1.1437285550895921</v>
      </c>
    </row>
    <row r="18" spans="1:30" x14ac:dyDescent="0.25">
      <c r="A18" s="142" t="str">
        <f>IF(SEMI!L19="","",IF(SEMI!L19="W",SEMI!A19,IF(SEMI!L20="","",SEMI!A20)))</f>
        <v/>
      </c>
      <c r="B18" s="183"/>
      <c r="C18" s="190"/>
      <c r="D18" s="144" t="str">
        <f>IF(A18&gt;'Time Trial'!$C$48,"",VLOOKUP(A18,'Time Trial'!$C$5:$O$46,3))</f>
        <v/>
      </c>
      <c r="E18" s="61" t="str">
        <f>IF(A18&gt;'Time Trial'!$C$48,"",VLOOKUP(A18,'Time Trial'!$C$5:$O$46,2))</f>
        <v/>
      </c>
      <c r="F18" s="94" t="str">
        <f>IF(A18&gt;'Time Trial'!$C$48,"",VLOOKUP(A18,'Time Trial'!$C$5:$O$46,4))</f>
        <v/>
      </c>
      <c r="G18" s="94" t="str">
        <f>(IF(A18&gt;'Time Trial'!$C$48,"",VLOOKUP(A18,'Time Trial'!$C$5:$O$46,5)))</f>
        <v/>
      </c>
      <c r="H18" s="94" t="str">
        <f>(IF(A18&gt;'Time Trial'!$C$48,"",VLOOKUP(A18,'Time Trial'!$C$5:$O$46,6)))</f>
        <v/>
      </c>
      <c r="I18" s="95" t="str">
        <f>IF(H18="","",IF(H18="M",VLOOKUP(F18,$X$24:$Z$31,2)*VLOOKUP(G18,$AB$3:$AD$19,3),IF(H18="F",VLOOKUP(F18,$X$24:$Z$31,3)*VLOOKUP(G18,$AB$3:$AD$19,3))))</f>
        <v/>
      </c>
      <c r="J18" s="139" t="str">
        <f>IF(OR(I17="",I18="")=TRUE,"",IF(I18-I17&lt;=0,"",I18-I17))</f>
        <v/>
      </c>
      <c r="K18" s="140" t="str">
        <f t="shared" ref="K18:K26" si="1">IF(J18="","",IF(J18=0,"","head start"))</f>
        <v/>
      </c>
      <c r="L18" s="83"/>
      <c r="X18" t="str">
        <f>'Time Trial'!Y20</f>
        <v>4x+</v>
      </c>
      <c r="Y18">
        <f>'Time Trial'!Z20</f>
        <v>881.00483929625113</v>
      </c>
      <c r="Z18">
        <f>'Time Trial'!AA20</f>
        <v>980.09818691251849</v>
      </c>
      <c r="AB18" s="26" t="str">
        <f>'Base Data'!K56</f>
        <v>I</v>
      </c>
      <c r="AC18" s="170">
        <f>'Base Data'!N56</f>
        <v>0.84699999999999998</v>
      </c>
      <c r="AD18" s="170">
        <f>'Base Data'!O56</f>
        <v>1.1806375442739079</v>
      </c>
    </row>
    <row r="19" spans="1:30" x14ac:dyDescent="0.25">
      <c r="A19" s="130" t="str">
        <f>IF(SEMI!L17="","",IF(SEMI!L17="L",SEMI!A17,IF(SEMI!L18="","",SEMI!A18)))</f>
        <v/>
      </c>
      <c r="B19" s="182" t="str">
        <f>IF(COUNTIF(C19,"")=1,"","11th to 12th")</f>
        <v/>
      </c>
      <c r="C19" s="189" t="str">
        <f>IF(AND(NOT(D19="")=TRUE,NOT(D20="")=TRUE)=TRUE,MAX(C5:C18)+1,"")</f>
        <v/>
      </c>
      <c r="D19" s="145" t="str">
        <f>IF(A19&gt;'Time Trial'!$C$48,"",VLOOKUP(A19,'Time Trial'!$C$5:$O$46,3))</f>
        <v/>
      </c>
      <c r="E19" s="61" t="str">
        <f>IF(A19&gt;'Time Trial'!$C$48,"",VLOOKUP(A19,'Time Trial'!$C$5:$O$46,2))</f>
        <v/>
      </c>
      <c r="F19" s="94" t="str">
        <f>IF(A19&gt;'Time Trial'!$C$48,"",VLOOKUP(A19,'Time Trial'!$C$5:$O$46,4))</f>
        <v/>
      </c>
      <c r="G19" s="94" t="str">
        <f>(IF(A19&gt;'Time Trial'!$C$48,"",VLOOKUP(A19,'Time Trial'!$C$5:$O$46,5)))</f>
        <v/>
      </c>
      <c r="H19" s="94" t="str">
        <f>(IF(A19&gt;'Time Trial'!$C$48,"",VLOOKUP(A19,'Time Trial'!$C$5:$O$46,6)))</f>
        <v/>
      </c>
      <c r="I19" s="95" t="str">
        <f>IF(H19="","",IF(H19="M",VLOOKUP(F19,$X$24:$Z$31,2)*VLOOKUP(G19,$AB$3:$AD$19,3),IF(H19="F",VLOOKUP(F19,$X$24:$Z$31,3)*VLOOKUP(G19,$AB$3:$AD$19,3))))</f>
        <v/>
      </c>
      <c r="J19" s="139" t="str">
        <f>IF(OR(I19="",I20="")=TRUE,"",IF(I19-I20&lt;=0,"",I19-I20))</f>
        <v/>
      </c>
      <c r="K19" s="140" t="str">
        <f t="shared" si="1"/>
        <v/>
      </c>
      <c r="L19" s="82"/>
      <c r="X19" t="str">
        <f>'Time Trial'!Y21</f>
        <v>8+</v>
      </c>
      <c r="Y19">
        <f>'Time Trial'!Z21</f>
        <v>800.70431986183189</v>
      </c>
      <c r="Z19">
        <f>'Time Trial'!AA21</f>
        <v>890.76565433678888</v>
      </c>
      <c r="AB19" s="26" t="str">
        <f>'Base Data'!K57</f>
        <v>S</v>
      </c>
      <c r="AC19" s="170">
        <f>'Base Data'!N57</f>
        <v>1</v>
      </c>
      <c r="AD19" s="170">
        <f>'Base Data'!O57</f>
        <v>1</v>
      </c>
    </row>
    <row r="20" spans="1:30" x14ac:dyDescent="0.25">
      <c r="A20" s="133" t="str">
        <f>IF(SEMI!L19="","",IF(SEMI!L19="L",SEMI!A19,IF(SEMI!L20="","",SEMI!A20)))</f>
        <v/>
      </c>
      <c r="B20" s="184"/>
      <c r="C20" s="190"/>
      <c r="D20" s="144" t="str">
        <f>IF(A20&gt;'Time Trial'!$C$48,"",VLOOKUP(A20,'Time Trial'!$C$5:$O$46,3))</f>
        <v/>
      </c>
      <c r="E20" s="61" t="str">
        <f>IF(A20&gt;'Time Trial'!$C$48,"",VLOOKUP(A20,'Time Trial'!$C$5:$O$46,2))</f>
        <v/>
      </c>
      <c r="F20" s="94" t="str">
        <f>IF(A20&gt;'Time Trial'!$C$48,"",VLOOKUP(A20,'Time Trial'!$C$5:$O$46,4))</f>
        <v/>
      </c>
      <c r="G20" s="94" t="str">
        <f>(IF(A20&gt;'Time Trial'!$C$48,"",VLOOKUP(A20,'Time Trial'!$C$5:$O$46,5)))</f>
        <v/>
      </c>
      <c r="H20" s="94" t="str">
        <f>(IF(A20&gt;'Time Trial'!$C$48,"",VLOOKUP(A20,'Time Trial'!$C$5:$O$46,6)))</f>
        <v/>
      </c>
      <c r="I20" s="95" t="str">
        <f>IF(H20="","",IF(H20="M",VLOOKUP(F20,$X$24:$Z$31,2)*VLOOKUP(G20,$AB$3:$AD$19,3),IF(H20="F",VLOOKUP(F20,$X$24:$Z$31,3)*VLOOKUP(G20,$AB$3:$AD$19,3))))</f>
        <v/>
      </c>
      <c r="J20" s="138" t="str">
        <f>IF(OR(I19="",I20="")=TRUE,"",IF(I20-I19&lt;=0,"",I20-I19))</f>
        <v/>
      </c>
      <c r="K20" s="132" t="str">
        <f t="shared" si="1"/>
        <v/>
      </c>
      <c r="L20" s="83"/>
    </row>
    <row r="21" spans="1:30" x14ac:dyDescent="0.25">
      <c r="A21" s="163"/>
      <c r="B21" s="124"/>
      <c r="C21" s="106"/>
      <c r="D21" s="163"/>
      <c r="E21" s="126"/>
      <c r="F21" s="171"/>
      <c r="G21" s="171"/>
      <c r="H21" s="171"/>
      <c r="I21" s="167"/>
      <c r="J21" s="100"/>
      <c r="K21" s="100"/>
      <c r="L21" s="163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AA21" s="167"/>
    </row>
    <row r="22" spans="1:30" x14ac:dyDescent="0.25">
      <c r="A22" s="26" t="s">
        <v>40</v>
      </c>
      <c r="B22" s="26" t="s">
        <v>41</v>
      </c>
      <c r="C22" s="160" t="s">
        <v>42</v>
      </c>
      <c r="D22" s="26" t="s">
        <v>43</v>
      </c>
      <c r="E22" s="87" t="s">
        <v>5</v>
      </c>
      <c r="F22" s="61" t="s">
        <v>44</v>
      </c>
      <c r="G22" s="61" t="s">
        <v>8</v>
      </c>
      <c r="H22" s="61" t="s">
        <v>9</v>
      </c>
      <c r="I22" s="61"/>
      <c r="J22" s="195" t="s">
        <v>15</v>
      </c>
      <c r="K22" s="196"/>
      <c r="L22" s="81" t="s">
        <v>45</v>
      </c>
      <c r="Y22" s="191" t="str">
        <f>CONCATENATE(D27,"m")</f>
        <v>m</v>
      </c>
      <c r="Z22" s="191"/>
      <c r="AB22" s="127"/>
      <c r="AC22" s="169"/>
      <c r="AD22" s="169"/>
    </row>
    <row r="23" spans="1:30" x14ac:dyDescent="0.25">
      <c r="A23" s="130" t="str">
        <f>IF(SEMI!L23="","",IF(SEMI!L23="W",SEMI!A23,IF(SEMI!L24="","",SEMI!A24)))</f>
        <v/>
      </c>
      <c r="B23" s="182" t="str">
        <f>IF(COUNTIF(C23,"")=1,"","13th to 14th")</f>
        <v/>
      </c>
      <c r="C23" s="189" t="str">
        <f>IF(AND(NOT(D23="")=TRUE,NOT(D24="")=TRUE)=TRUE,MAX(C5:C20)+1,"")</f>
        <v/>
      </c>
      <c r="D23" s="145" t="str">
        <f>IF(A23&gt;'Time Trial'!$C$48,"",VLOOKUP(A23,'Time Trial'!$C$5:$O$46,3))</f>
        <v/>
      </c>
      <c r="E23" s="61" t="str">
        <f>IF(A23&gt;'Time Trial'!$C$48,"",VLOOKUP(A23,'Time Trial'!$C$5:$O$46,2))</f>
        <v/>
      </c>
      <c r="F23" s="94" t="str">
        <f>IF(A23&gt;'Time Trial'!$C$48,"",VLOOKUP(A23,'Time Trial'!$C$5:$O$46,4))</f>
        <v/>
      </c>
      <c r="G23" s="94" t="str">
        <f>(IF(A23&gt;'Time Trial'!$C$48,"",VLOOKUP(A23,'Time Trial'!$C$5:$O$46,5)))</f>
        <v/>
      </c>
      <c r="H23" s="94" t="str">
        <f>(IF(A23&gt;'Time Trial'!$C$48,"",VLOOKUP(A23,'Time Trial'!$C$5:$O$46,6)))</f>
        <v/>
      </c>
      <c r="I23" s="95" t="str">
        <f>IF(H23="","",IF(H23="M",VLOOKUP(F23,$X$24:$Z$31,2)*VLOOKUP(G23,$AB$3:$AD$19,3),IF(H23="F",VLOOKUP(F23,$X$24:$Z$31,3)*VLOOKUP(G23,$AB$3:$AD$19,3))))</f>
        <v/>
      </c>
      <c r="J23" s="135" t="str">
        <f>IF(OR(I23="",I24="")=TRUE,"",IF(I23-I24&lt;=0,"",I23-I24))</f>
        <v/>
      </c>
      <c r="K23" s="131" t="str">
        <f t="shared" si="1"/>
        <v/>
      </c>
      <c r="L23" s="82"/>
      <c r="Y23" s="179" t="s">
        <v>19</v>
      </c>
      <c r="Z23" s="179" t="s">
        <v>20</v>
      </c>
    </row>
    <row r="24" spans="1:30" x14ac:dyDescent="0.25">
      <c r="A24" s="133" t="str">
        <f>IF(SEMI!L25="","",IF(SEMI!L25="W",SEMI!A25,IF(SEMI!L26="","",SEMI!A26)))</f>
        <v/>
      </c>
      <c r="B24" s="183"/>
      <c r="C24" s="190"/>
      <c r="D24" s="144" t="str">
        <f>IF(A24&gt;'Time Trial'!$C$48,"",VLOOKUP(A24,'Time Trial'!$C$5:$O$46,3))</f>
        <v/>
      </c>
      <c r="E24" s="61" t="str">
        <f>IF(A24&gt;'Time Trial'!$C$48,"",VLOOKUP(A24,'Time Trial'!$C$5:$O$46,2))</f>
        <v/>
      </c>
      <c r="F24" s="94" t="str">
        <f>IF(A24&gt;'Time Trial'!$C$48,"",VLOOKUP(A24,'Time Trial'!$C$5:$O$46,4))</f>
        <v/>
      </c>
      <c r="G24" s="94" t="str">
        <f>(IF(A24&gt;'Time Trial'!$C$48,"",VLOOKUP(A24,'Time Trial'!$C$5:$O$46,5)))</f>
        <v/>
      </c>
      <c r="H24" s="94" t="str">
        <f>(IF(A24&gt;'Time Trial'!$C$48,"",VLOOKUP(A24,'Time Trial'!$C$5:$O$46,6)))</f>
        <v/>
      </c>
      <c r="I24" s="95" t="str">
        <f>IF(H24="","",IF(H24="M",VLOOKUP(F24,$X$24:$Z$31,2)*VLOOKUP(G24,$AB$3:$AD$19,3),IF(H24="F",VLOOKUP(F24,$X$24:$Z$31,3)*VLOOKUP(G24,$AB$3:$AD$19,3))))</f>
        <v/>
      </c>
      <c r="J24" s="139" t="str">
        <f>IF(OR(I23="",I24="")=TRUE,"",IF(I24-I23&lt;=0,"",I24-I23))</f>
        <v/>
      </c>
      <c r="K24" s="140" t="str">
        <f t="shared" si="1"/>
        <v/>
      </c>
      <c r="L24" s="83"/>
      <c r="X24" t="str">
        <f t="shared" ref="X24:X31" si="2">X3</f>
        <v>1x</v>
      </c>
      <c r="Y24" s="56">
        <f>Y12*'Time Trial'!$T$4</f>
        <v>1237.8630458648024</v>
      </c>
      <c r="Z24" s="56">
        <f>Z12*'Time Trial'!$T$4</f>
        <v>1377.0949633684527</v>
      </c>
    </row>
    <row r="25" spans="1:30" x14ac:dyDescent="0.25">
      <c r="A25" s="130" t="str">
        <f>IF(SEMI!L23="","",IF(SEMI!L23="L",SEMI!A23,IF(SEMI!L24="","",SEMI!A24)))</f>
        <v/>
      </c>
      <c r="B25" s="182" t="str">
        <f>IF(COUNTIF(C25,"")=1,"","15th to 16th")</f>
        <v/>
      </c>
      <c r="C25" s="189" t="str">
        <f>IF(AND(NOT(D25="")=TRUE,NOT(D26="")=TRUE)=TRUE,MAX(C5:C24)+1,"")</f>
        <v/>
      </c>
      <c r="D25" s="145" t="str">
        <f>IF(A25&gt;'Time Trial'!$C$48,"",VLOOKUP(A25,'Time Trial'!$C$5:$O$46,3))</f>
        <v/>
      </c>
      <c r="E25" s="61" t="str">
        <f>IF(A25&gt;'Time Trial'!$C$48,"",VLOOKUP(A25,'Time Trial'!$C$5:$O$46,2))</f>
        <v/>
      </c>
      <c r="F25" s="94" t="str">
        <f>IF(A25&gt;'Time Trial'!$C$48,"",VLOOKUP(A25,'Time Trial'!$C$5:$O$46,4))</f>
        <v/>
      </c>
      <c r="G25" s="94" t="str">
        <f>(IF(A25&gt;'Time Trial'!$C$48,"",VLOOKUP(A25,'Time Trial'!$C$5:$O$46,5)))</f>
        <v/>
      </c>
      <c r="H25" s="94" t="str">
        <f>(IF(A25&gt;'Time Trial'!$C$48,"",VLOOKUP(A25,'Time Trial'!$C$5:$O$46,6)))</f>
        <v/>
      </c>
      <c r="I25" s="95" t="str">
        <f>IF(H25="","",IF(H25="M",VLOOKUP(F25,$X$24:$Z$31,2)*VLOOKUP(G25,$AB$3:$AD$19,3),IF(H25="F",VLOOKUP(F25,$X$24:$Z$31,3)*VLOOKUP(G25,$AB$3:$AD$19,3))))</f>
        <v/>
      </c>
      <c r="J25" s="139" t="str">
        <f>IF(OR(I25="",I26="")=TRUE,"",IF(I25-I26&lt;=0,"",I25-I26))</f>
        <v/>
      </c>
      <c r="K25" s="140" t="str">
        <f t="shared" si="1"/>
        <v/>
      </c>
      <c r="L25" s="82"/>
      <c r="X25" t="str">
        <f t="shared" si="2"/>
        <v>2-</v>
      </c>
      <c r="Y25" s="56">
        <f>Y13*'Time Trial'!$T$4</f>
        <v>1200.6098214987289</v>
      </c>
      <c r="Z25" s="56">
        <f>Z13*'Time Trial'!$T$4</f>
        <v>1335.6515841391179</v>
      </c>
    </row>
    <row r="26" spans="1:30" x14ac:dyDescent="0.25">
      <c r="A26" s="133" t="str">
        <f>IF(SEMI!L25="","",IF(SEMI!L25="L",SEMI!A25,IF(SEMI!L26="","",SEMI!A26)))</f>
        <v/>
      </c>
      <c r="B26" s="184"/>
      <c r="C26" s="190"/>
      <c r="D26" s="144" t="str">
        <f>IF(A26&gt;'Time Trial'!$C$48,"",VLOOKUP(A26,'Time Trial'!$C$5:$O$46,3))</f>
        <v/>
      </c>
      <c r="E26" s="61" t="str">
        <f>IF(A26&gt;'Time Trial'!$C$48,"",VLOOKUP(A26,'Time Trial'!$C$5:$O$46,2))</f>
        <v/>
      </c>
      <c r="F26" s="94" t="str">
        <f>IF(A26&gt;'Time Trial'!$C$48,"",VLOOKUP(A26,'Time Trial'!$C$5:$O$46,4))</f>
        <v/>
      </c>
      <c r="G26" s="94" t="str">
        <f>(IF(A26&gt;'Time Trial'!$C$48,"",VLOOKUP(A26,'Time Trial'!$C$5:$O$46,5)))</f>
        <v/>
      </c>
      <c r="H26" s="94" t="str">
        <f>(IF(A26&gt;'Time Trial'!$C$48,"",VLOOKUP(A26,'Time Trial'!$C$5:$O$46,6)))</f>
        <v/>
      </c>
      <c r="I26" s="95" t="str">
        <f>IF(H26="","",IF(H26="M",VLOOKUP(F26,$X$24:$Z$31,2)*VLOOKUP(G26,$AB$3:$AD$19,3),IF(H26="F",VLOOKUP(F26,$X$24:$Z$31,3)*VLOOKUP(G26,$AB$3:$AD$19,3))))</f>
        <v/>
      </c>
      <c r="J26" s="138" t="str">
        <f>IF(OR(I25="",I26="")=TRUE,"",IF(I26-I25&lt;=0,"",I26-I25))</f>
        <v/>
      </c>
      <c r="K26" s="132" t="str">
        <f t="shared" si="1"/>
        <v/>
      </c>
      <c r="L26" s="83"/>
      <c r="X26" t="str">
        <f t="shared" si="2"/>
        <v>2x</v>
      </c>
      <c r="Y26" s="56">
        <f>Y14*'Time Trial'!$T$4</f>
        <v>1153.3832929716596</v>
      </c>
      <c r="Z26" s="56">
        <f>Z14*'Time Trial'!$T$4</f>
        <v>1283.1131270058663</v>
      </c>
    </row>
    <row r="27" spans="1:30" x14ac:dyDescent="0.25">
      <c r="A27" s="124"/>
      <c r="B27" s="124"/>
      <c r="C27" s="106"/>
      <c r="D27" s="124"/>
      <c r="E27" s="126"/>
      <c r="F27" s="59"/>
      <c r="G27" s="59"/>
      <c r="H27" s="59"/>
      <c r="I27" s="56"/>
      <c r="J27" s="101"/>
      <c r="K27" s="101"/>
      <c r="L27" s="179"/>
      <c r="X27" t="str">
        <f t="shared" si="2"/>
        <v>4-</v>
      </c>
      <c r="Y27" s="56">
        <f>Y15*'Time Trial'!$T$4</f>
        <v>1098.8234525615048</v>
      </c>
      <c r="Z27" s="56">
        <f>Z15*'Time Trial'!$T$4</f>
        <v>1222.4165243550294</v>
      </c>
    </row>
    <row r="28" spans="1:30" x14ac:dyDescent="0.25">
      <c r="A28" s="26" t="s">
        <v>40</v>
      </c>
      <c r="B28" s="26" t="s">
        <v>41</v>
      </c>
      <c r="C28" s="105" t="s">
        <v>42</v>
      </c>
      <c r="D28" s="26" t="s">
        <v>43</v>
      </c>
      <c r="E28" s="87" t="s">
        <v>5</v>
      </c>
      <c r="F28" s="61" t="s">
        <v>44</v>
      </c>
      <c r="G28" s="61" t="s">
        <v>8</v>
      </c>
      <c r="H28" s="61" t="s">
        <v>9</v>
      </c>
      <c r="I28" s="61"/>
      <c r="J28" s="195" t="s">
        <v>15</v>
      </c>
      <c r="K28" s="196"/>
      <c r="L28" s="81" t="s">
        <v>45</v>
      </c>
      <c r="X28" t="str">
        <f t="shared" si="2"/>
        <v>4+</v>
      </c>
      <c r="Y28" s="56">
        <f>Y16*'Time Trial'!$T$4</f>
        <v>1139.3033341561356</v>
      </c>
      <c r="Z28" s="56">
        <f>Z16*'Time Trial'!$T$4</f>
        <v>1267.4494876121018</v>
      </c>
    </row>
    <row r="29" spans="1:30" ht="14.1" customHeight="1" x14ac:dyDescent="0.25">
      <c r="A29" s="142" t="str">
        <f>IF(SEMI!L29="","",IF(SEMI!L29="W",SEMI!A29,IF(SEMI!L30="","",SEMI!A30)))</f>
        <v/>
      </c>
      <c r="B29" s="182" t="str">
        <f>IF(COUNTIF(C29,"")=1,"","17th to 18th")</f>
        <v/>
      </c>
      <c r="C29" s="189" t="str">
        <f>IF(AND(NOT(D29="")=TRUE,NOT(D30="")=TRUE)=TRUE,MAX(C5:C26)+1,"")</f>
        <v/>
      </c>
      <c r="D29" s="145" t="str">
        <f>IF(A29&gt;'Time Trial'!$C$48,"",VLOOKUP(A29,'Time Trial'!$C$5:$O$46,3))</f>
        <v/>
      </c>
      <c r="E29" s="61" t="str">
        <f>IF(A29&gt;'Time Trial'!$C$48,"",VLOOKUP(A29,'Time Trial'!$C$5:$O$46,2))</f>
        <v/>
      </c>
      <c r="F29" s="94" t="str">
        <f>IF(A29&gt;'Time Trial'!$C$48,"",VLOOKUP(A29,'Time Trial'!$C$5:$O$46,4))</f>
        <v/>
      </c>
      <c r="G29" s="94" t="str">
        <f>(IF(A29&gt;'Time Trial'!$C$48,"",VLOOKUP(A29,'Time Trial'!$C$5:$O$46,5)))</f>
        <v/>
      </c>
      <c r="H29" s="94" t="str">
        <f>(IF(A29&gt;'Time Trial'!$C$48,"",VLOOKUP(A29,'Time Trial'!$C$5:$O$46,6)))</f>
        <v/>
      </c>
      <c r="I29" s="95" t="str">
        <f>IF(H29="","",IF(H29="M",VLOOKUP(F29,$X$24:$Z$31,2)*VLOOKUP(G29,$AB$3:$AD$19,3),IF(H29="F",VLOOKUP(F29,$X$24:$Z$31,3)*VLOOKUP(G29,$AB$3:$AD$19,3))))</f>
        <v/>
      </c>
      <c r="J29" s="135" t="str">
        <f>IF(OR(I29="",I30="")=TRUE,"",IF(I29-I30&lt;=0,"",I29-I30))</f>
        <v/>
      </c>
      <c r="K29" s="131" t="str">
        <f t="shared" ref="K29:K38" si="3">IF(J29="","",IF(J29=0,"","head start"))</f>
        <v/>
      </c>
      <c r="L29" s="82"/>
      <c r="X29" t="str">
        <f t="shared" si="2"/>
        <v>4x</v>
      </c>
      <c r="Y29" s="56">
        <f>Y17*'Time Trial'!$T$4</f>
        <v>1076.5301844369253</v>
      </c>
      <c r="Z29" s="56">
        <f>Z17*'Time Trial'!$T$4</f>
        <v>1197.615761981569</v>
      </c>
    </row>
    <row r="30" spans="1:30" x14ac:dyDescent="0.25">
      <c r="A30" s="142" t="str">
        <f>IF(SEMI!L31="","",IF(SEMI!L31="W",SEMI!A31,IF(SEMI!L32="","",SEMI!A32)))</f>
        <v/>
      </c>
      <c r="B30" s="183"/>
      <c r="C30" s="190"/>
      <c r="D30" s="144" t="str">
        <f>IF(A30&gt;'Time Trial'!$C$48,"",VLOOKUP(A30,'Time Trial'!$C$5:$O$46,3))</f>
        <v/>
      </c>
      <c r="E30" s="61" t="str">
        <f>IF(A30&gt;'Time Trial'!$C$48,"",VLOOKUP(A30,'Time Trial'!$C$5:$O$46,2))</f>
        <v/>
      </c>
      <c r="F30" s="94" t="str">
        <f>IF(A30&gt;'Time Trial'!$C$48,"",VLOOKUP(A30,'Time Trial'!$C$5:$O$46,4))</f>
        <v/>
      </c>
      <c r="G30" s="94" t="str">
        <f>(IF(A30&gt;'Time Trial'!$C$48,"",VLOOKUP(A30,'Time Trial'!$C$5:$O$46,5)))</f>
        <v/>
      </c>
      <c r="H30" s="94" t="str">
        <f>(IF(A30&gt;'Time Trial'!$C$48,"",VLOOKUP(A30,'Time Trial'!$C$5:$O$46,6)))</f>
        <v/>
      </c>
      <c r="I30" s="95" t="str">
        <f>IF(H30="","",IF(H30="M",VLOOKUP(F30,$X$24:$Z$31,2)*VLOOKUP(G30,$AB$3:$AD$19,3),IF(H30="F",VLOOKUP(F30,$X$24:$Z$31,3)*VLOOKUP(G30,$AB$3:$AD$19,3))))</f>
        <v/>
      </c>
      <c r="J30" s="139" t="str">
        <f>IF(OR(I29="",I30="")=TRUE,"",IF(I30-I29&lt;=0,"",I30-I29))</f>
        <v/>
      </c>
      <c r="K30" s="140" t="str">
        <f t="shared" si="3"/>
        <v/>
      </c>
      <c r="L30" s="83"/>
      <c r="X30" t="str">
        <f t="shared" si="2"/>
        <v>4x+</v>
      </c>
      <c r="Y30" s="56">
        <f>Y18*'Time Trial'!$T$4</f>
        <v>1123.1700480133479</v>
      </c>
      <c r="Z30" s="56">
        <f>Z18*'Time Trial'!$T$4</f>
        <v>1249.5015674734134</v>
      </c>
    </row>
    <row r="31" spans="1:30" x14ac:dyDescent="0.25">
      <c r="A31" s="130" t="str">
        <f>IF(SEMI!L29="","",IF(SEMI!L29="L",SEMI!A29,IF(SEMI!L30="","",SEMI!A30)))</f>
        <v/>
      </c>
      <c r="B31" s="182" t="str">
        <f>IF(COUNTIF(C31,"")=1,"","19th to 20th")</f>
        <v/>
      </c>
      <c r="C31" s="189" t="str">
        <f>IF(AND(NOT(D31="")=TRUE,NOT(D32="")=TRUE)=TRUE,MAX(C5:C30)+1,"")</f>
        <v/>
      </c>
      <c r="D31" s="145" t="str">
        <f>IF(A31&gt;'Time Trial'!$C$48,"",VLOOKUP(A31,'Time Trial'!$C$5:$O$46,3))</f>
        <v/>
      </c>
      <c r="E31" s="61" t="str">
        <f>IF(A31&gt;'Time Trial'!$C$48,"",VLOOKUP(A31,'Time Trial'!$C$5:$O$46,2))</f>
        <v/>
      </c>
      <c r="F31" s="94" t="str">
        <f>IF(A31&gt;'Time Trial'!$C$48,"",VLOOKUP(A31,'Time Trial'!$C$5:$O$46,4))</f>
        <v/>
      </c>
      <c r="G31" s="94" t="str">
        <f>(IF(A31&gt;'Time Trial'!$C$48,"",VLOOKUP(A31,'Time Trial'!$C$5:$O$46,5)))</f>
        <v/>
      </c>
      <c r="H31" s="94" t="str">
        <f>(IF(A31&gt;'Time Trial'!$C$48,"",VLOOKUP(A31,'Time Trial'!$C$5:$O$46,6)))</f>
        <v/>
      </c>
      <c r="I31" s="95" t="str">
        <f>IF(H31="","",IF(H31="M",VLOOKUP(F31,$X$24:$Z$31,2)*VLOOKUP(G31,$AB$3:$AD$19,3),IF(H31="F",VLOOKUP(F31,$X$24:$Z$31,3)*VLOOKUP(G31,$AB$3:$AD$19,3))))</f>
        <v/>
      </c>
      <c r="J31" s="139" t="str">
        <f>IF(OR(I31="",I32="")=TRUE,"",IF(I31-I32&lt;=0,"",I31-I32))</f>
        <v/>
      </c>
      <c r="K31" s="140" t="str">
        <f t="shared" si="3"/>
        <v/>
      </c>
      <c r="L31" s="82"/>
      <c r="X31" t="str">
        <f t="shared" si="2"/>
        <v>8+</v>
      </c>
      <c r="Y31" s="56">
        <f>Y19*'Time Trial'!$T$4</f>
        <v>1020.7970141254768</v>
      </c>
      <c r="Z31" s="56">
        <f>Z19*'Time Trial'!$T$4</f>
        <v>1135.6138560479183</v>
      </c>
    </row>
    <row r="32" spans="1:30" x14ac:dyDescent="0.25">
      <c r="A32" s="133" t="str">
        <f>IF(SEMI!L31="","",IF(SEMI!L31="L",SEMI!A31,IF(SEMI!L32="","",SEMI!A32)))</f>
        <v/>
      </c>
      <c r="B32" s="184"/>
      <c r="C32" s="190"/>
      <c r="D32" s="144" t="str">
        <f>IF(A32&gt;'Time Trial'!$C$48,"",VLOOKUP(A32,'Time Trial'!$C$5:$O$46,3))</f>
        <v/>
      </c>
      <c r="E32" s="61" t="str">
        <f>IF(A32&gt;'Time Trial'!$C$48,"",VLOOKUP(A32,'Time Trial'!$C$5:$O$46,2))</f>
        <v/>
      </c>
      <c r="F32" s="94" t="str">
        <f>IF(A32&gt;'Time Trial'!$C$48,"",VLOOKUP(A32,'Time Trial'!$C$5:$O$46,4))</f>
        <v/>
      </c>
      <c r="G32" s="94" t="str">
        <f>(IF(A32&gt;'Time Trial'!$C$48,"",VLOOKUP(A32,'Time Trial'!$C$5:$O$46,5)))</f>
        <v/>
      </c>
      <c r="H32" s="94" t="str">
        <f>(IF(A32&gt;'Time Trial'!$C$48,"",VLOOKUP(A32,'Time Trial'!$C$5:$O$46,6)))</f>
        <v/>
      </c>
      <c r="I32" s="95" t="str">
        <f>IF(H32="","",IF(H32="M",VLOOKUP(F32,$X$24:$Z$31,2)*VLOOKUP(G32,$AB$3:$AD$19,3),IF(H32="F",VLOOKUP(F32,$X$24:$Z$31,3)*VLOOKUP(G32,$AB$3:$AD$19,3))))</f>
        <v/>
      </c>
      <c r="J32" s="138" t="str">
        <f>IF(OR(I31="",I32="")=TRUE,"",IF(I32-I31&lt;=0,"",I32-I31))</f>
        <v/>
      </c>
      <c r="K32" s="132" t="str">
        <f t="shared" si="3"/>
        <v/>
      </c>
      <c r="L32" s="83"/>
    </row>
    <row r="33" spans="1:30" x14ac:dyDescent="0.25">
      <c r="A33" s="163"/>
      <c r="B33" s="163"/>
      <c r="C33" s="164"/>
      <c r="D33" s="163"/>
      <c r="E33" s="166"/>
      <c r="F33" s="171"/>
      <c r="G33" s="171"/>
      <c r="H33" s="171"/>
      <c r="I33" s="167"/>
      <c r="J33" s="168"/>
      <c r="K33" s="168"/>
      <c r="L33" s="163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AA33" s="167"/>
    </row>
    <row r="34" spans="1:30" x14ac:dyDescent="0.25">
      <c r="A34" s="26" t="s">
        <v>40</v>
      </c>
      <c r="B34" s="26" t="s">
        <v>41</v>
      </c>
      <c r="C34" s="160" t="s">
        <v>42</v>
      </c>
      <c r="D34" s="26" t="s">
        <v>43</v>
      </c>
      <c r="E34" s="87" t="s">
        <v>5</v>
      </c>
      <c r="F34" s="61" t="s">
        <v>44</v>
      </c>
      <c r="G34" s="61" t="s">
        <v>8</v>
      </c>
      <c r="H34" s="61" t="s">
        <v>9</v>
      </c>
      <c r="I34" s="61"/>
      <c r="J34" s="195" t="s">
        <v>15</v>
      </c>
      <c r="K34" s="196"/>
      <c r="L34" s="81" t="s">
        <v>45</v>
      </c>
      <c r="AB34" s="127"/>
      <c r="AC34" s="169"/>
      <c r="AD34" s="169"/>
    </row>
    <row r="35" spans="1:30" x14ac:dyDescent="0.25">
      <c r="A35" s="130" t="str">
        <f>IF(SEMI!L35="","",IF(SEMI!L35="W",SEMI!A35,IF(SEMI!L36="","",SEMI!A36)))</f>
        <v/>
      </c>
      <c r="B35" s="182" t="str">
        <f>IF(COUNTIF(C35,"")=1,"","21st to 22nd")</f>
        <v/>
      </c>
      <c r="C35" s="189" t="str">
        <f>IF(AND(NOT(D35="")=TRUE,NOT(D36="")=TRUE)=TRUE,MAX(C5:C32)+1,"")</f>
        <v/>
      </c>
      <c r="D35" s="145" t="str">
        <f>IF(A35&gt;'Time Trial'!$C$48,"",VLOOKUP(A35,'Time Trial'!$C$5:$O$46,3))</f>
        <v/>
      </c>
      <c r="E35" s="61" t="str">
        <f>IF(A35&gt;'Time Trial'!$C$48,"",VLOOKUP(A35,'Time Trial'!$C$5:$O$46,2))</f>
        <v/>
      </c>
      <c r="F35" s="94" t="str">
        <f>IF(A35&gt;'Time Trial'!$C$48,"",VLOOKUP(A35,'Time Trial'!$C$5:$O$46,4))</f>
        <v/>
      </c>
      <c r="G35" s="94" t="str">
        <f>(IF(A35&gt;'Time Trial'!$C$48,"",VLOOKUP(A35,'Time Trial'!$C$5:$O$46,5)))</f>
        <v/>
      </c>
      <c r="H35" s="94" t="str">
        <f>(IF(A35&gt;'Time Trial'!$C$48,"",VLOOKUP(A35,'Time Trial'!$C$5:$O$46,6)))</f>
        <v/>
      </c>
      <c r="I35" s="95" t="str">
        <f>IF(H35="","",IF(H35="M",VLOOKUP(F35,$X$24:$Z$31,2)*VLOOKUP(G35,$AB$3:$AD$19,3),IF(H35="F",VLOOKUP(F35,$X$24:$Z$31,3)*VLOOKUP(G35,$AB$3:$AD$19,3))))</f>
        <v/>
      </c>
      <c r="J35" s="135" t="str">
        <f>IF(OR(I35="",I36="")=TRUE,"",IF(I35-I36&lt;=0,"",I35-I36))</f>
        <v/>
      </c>
      <c r="K35" s="131" t="str">
        <f t="shared" si="3"/>
        <v/>
      </c>
      <c r="L35" s="82"/>
    </row>
    <row r="36" spans="1:30" x14ac:dyDescent="0.25">
      <c r="A36" s="133" t="str">
        <f>IF(SEMI!L37="","",IF(SEMI!L37="W",SEMI!A37,IF(SEMI!L38="","",SEMI!A38)))</f>
        <v/>
      </c>
      <c r="B36" s="183"/>
      <c r="C36" s="190"/>
      <c r="D36" s="144" t="str">
        <f>IF(A36&gt;'Time Trial'!$C$48,"",VLOOKUP(A36,'Time Trial'!$C$5:$O$46,3))</f>
        <v/>
      </c>
      <c r="E36" s="61" t="str">
        <f>IF(A36&gt;'Time Trial'!$C$48,"",VLOOKUP(A36,'Time Trial'!$C$5:$O$46,2))</f>
        <v/>
      </c>
      <c r="F36" s="94" t="str">
        <f>IF(A36&gt;'Time Trial'!$C$48,"",VLOOKUP(A36,'Time Trial'!$C$5:$O$46,4))</f>
        <v/>
      </c>
      <c r="G36" s="94" t="str">
        <f>(IF(A36&gt;'Time Trial'!$C$48,"",VLOOKUP(A36,'Time Trial'!$C$5:$O$46,5)))</f>
        <v/>
      </c>
      <c r="H36" s="94" t="str">
        <f>(IF(A36&gt;'Time Trial'!$C$48,"",VLOOKUP(A36,'Time Trial'!$C$5:$O$46,6)))</f>
        <v/>
      </c>
      <c r="I36" s="95" t="str">
        <f>IF(H36="","",IF(H36="M",VLOOKUP(F36,$X$24:$Z$31,2)*VLOOKUP(G36,$AB$3:$AD$19,3),IF(H36="F",VLOOKUP(F36,$X$24:$Z$31,3)*VLOOKUP(G36,$AB$3:$AD$19,3))))</f>
        <v/>
      </c>
      <c r="J36" s="139" t="str">
        <f>IF(OR(I35="",I36="")=TRUE,"",IF(I36-I35&lt;=0,"",I36-I35))</f>
        <v/>
      </c>
      <c r="K36" s="140" t="str">
        <f t="shared" si="3"/>
        <v/>
      </c>
      <c r="L36" s="83"/>
    </row>
    <row r="37" spans="1:30" x14ac:dyDescent="0.25">
      <c r="A37" s="130" t="str">
        <f>IF(SEMI!L35="","",IF(SEMI!L35="L",SEMI!A35,IF(SEMI!L36="","",SEMI!A36)))</f>
        <v/>
      </c>
      <c r="B37" s="182" t="str">
        <f>IF(COUNTIF(C37,"")=1,"","23rd to 24th")</f>
        <v/>
      </c>
      <c r="C37" s="189" t="str">
        <f>IF(AND(NOT(D37="")=TRUE,NOT(D38="")=TRUE)=TRUE,MAX(C5:C36)+1,"")</f>
        <v/>
      </c>
      <c r="D37" s="145" t="str">
        <f>IF(A37&gt;'Time Trial'!$C$48,"",VLOOKUP(A37,'Time Trial'!$C$5:$O$46,3))</f>
        <v/>
      </c>
      <c r="E37" s="61" t="str">
        <f>IF(A37&gt;'Time Trial'!$C$48,"",VLOOKUP(A37,'Time Trial'!$C$5:$O$46,2))</f>
        <v/>
      </c>
      <c r="F37" s="94" t="str">
        <f>IF(A37&gt;'Time Trial'!$C$48,"",VLOOKUP(A37,'Time Trial'!$C$5:$O$46,4))</f>
        <v/>
      </c>
      <c r="G37" s="94" t="str">
        <f>(IF(A37&gt;'Time Trial'!$C$48,"",VLOOKUP(A37,'Time Trial'!$C$5:$O$46,5)))</f>
        <v/>
      </c>
      <c r="H37" s="94" t="str">
        <f>(IF(A37&gt;'Time Trial'!$C$48,"",VLOOKUP(A37,'Time Trial'!$C$5:$O$46,6)))</f>
        <v/>
      </c>
      <c r="I37" s="95" t="str">
        <f>IF(H37="","",IF(H37="M",VLOOKUP(F37,$X$24:$Z$31,2)*VLOOKUP(G37,$AB$3:$AD$19,3),IF(H37="F",VLOOKUP(F37,$X$24:$Z$31,3)*VLOOKUP(G37,$AB$3:$AD$19,3))))</f>
        <v/>
      </c>
      <c r="J37" s="139" t="str">
        <f>IF(OR(I37="",I38="")=TRUE,"",IF(I37-I38&lt;=0,"",I37-I38))</f>
        <v/>
      </c>
      <c r="K37" s="140" t="str">
        <f t="shared" si="3"/>
        <v/>
      </c>
      <c r="L37" s="82"/>
    </row>
    <row r="38" spans="1:30" x14ac:dyDescent="0.25">
      <c r="A38" s="133" t="str">
        <f>IF(SEMI!L37="","",IF(SEMI!L37="L",SEMI!A37,IF(SEMI!L38="","",SEMI!A38)))</f>
        <v/>
      </c>
      <c r="B38" s="184"/>
      <c r="C38" s="190"/>
      <c r="D38" s="144" t="str">
        <f>IF(A38&gt;'Time Trial'!$C$48,"",VLOOKUP(A38,'Time Trial'!$C$5:$O$46,3))</f>
        <v/>
      </c>
      <c r="E38" s="61" t="str">
        <f>IF(A38&gt;'Time Trial'!$C$48,"",VLOOKUP(A38,'Time Trial'!$C$5:$O$46,2))</f>
        <v/>
      </c>
      <c r="F38" s="94" t="str">
        <f>IF(A38&gt;'Time Trial'!$C$48,"",VLOOKUP(A38,'Time Trial'!$C$5:$O$46,4))</f>
        <v/>
      </c>
      <c r="G38" s="94" t="str">
        <f>(IF(A38&gt;'Time Trial'!$C$48,"",VLOOKUP(A38,'Time Trial'!$C$5:$O$46,5)))</f>
        <v/>
      </c>
      <c r="H38" s="94" t="str">
        <f>(IF(A38&gt;'Time Trial'!$C$48,"",VLOOKUP(A38,'Time Trial'!$C$5:$O$46,6)))</f>
        <v/>
      </c>
      <c r="I38" s="95" t="str">
        <f>IF(H38="","",IF(H38="M",VLOOKUP(F38,$X$24:$Z$31,2)*VLOOKUP(G38,$AB$3:$AD$19,3),IF(H38="F",VLOOKUP(F38,$X$24:$Z$31,3)*VLOOKUP(G38,$AB$3:$AD$19,3))))</f>
        <v/>
      </c>
      <c r="J38" s="138" t="str">
        <f>IF(OR(I37="",I38="")=TRUE,"",IF(I38-I37&lt;=0,"",I38-I37))</f>
        <v/>
      </c>
      <c r="K38" s="132" t="str">
        <f t="shared" si="3"/>
        <v/>
      </c>
      <c r="L38" s="83"/>
    </row>
    <row r="39" spans="1:30" x14ac:dyDescent="0.25">
      <c r="A39" s="179"/>
      <c r="B39" s="179"/>
      <c r="D39" s="179"/>
      <c r="J39" s="101"/>
      <c r="K39" s="101"/>
    </row>
    <row r="40" spans="1:30" x14ac:dyDescent="0.25">
      <c r="A40" s="26" t="s">
        <v>40</v>
      </c>
      <c r="B40" s="26" t="s">
        <v>41</v>
      </c>
      <c r="C40" s="160" t="s">
        <v>42</v>
      </c>
      <c r="D40" s="26" t="s">
        <v>43</v>
      </c>
      <c r="E40" s="87" t="s">
        <v>5</v>
      </c>
      <c r="F40" s="61" t="s">
        <v>44</v>
      </c>
      <c r="G40" s="61" t="s">
        <v>8</v>
      </c>
      <c r="H40" s="61" t="s">
        <v>9</v>
      </c>
      <c r="I40" s="61"/>
      <c r="J40" s="195" t="s">
        <v>15</v>
      </c>
      <c r="K40" s="196"/>
      <c r="L40" s="81" t="s">
        <v>45</v>
      </c>
    </row>
    <row r="41" spans="1:30" x14ac:dyDescent="0.25">
      <c r="A41" s="130" t="str">
        <f>IF(SEMI!L41="","",IF(SEMI!L41="W",SEMI!A41,IF(SEMI!L42="","",SEMI!A42)))</f>
        <v/>
      </c>
      <c r="B41" s="182" t="str">
        <f>IF(COUNTIF(C41,"")=1,"","25th to 26th")</f>
        <v/>
      </c>
      <c r="C41" s="189" t="str">
        <f>IF(AND(NOT(D41="")=TRUE,NOT(D42="")=TRUE)=TRUE,MAX(C5:C38)+1,"")</f>
        <v/>
      </c>
      <c r="D41" s="145" t="str">
        <f>IF(A41&gt;'Time Trial'!$C$48,"",VLOOKUP(A41,'Time Trial'!$C$5:$O$46,3))</f>
        <v/>
      </c>
      <c r="E41" s="61" t="str">
        <f>IF(A41&gt;'Time Trial'!$C$48,"",VLOOKUP(A41,'Time Trial'!$C$5:$O$46,2))</f>
        <v/>
      </c>
      <c r="F41" s="94" t="str">
        <f>IF(A41&gt;'Time Trial'!$C$48,"",VLOOKUP(A41,'Time Trial'!$C$5:$O$46,4))</f>
        <v/>
      </c>
      <c r="G41" s="94" t="str">
        <f>(IF(A41&gt;'Time Trial'!$C$48,"",VLOOKUP(A41,'Time Trial'!$C$5:$O$46,5)))</f>
        <v/>
      </c>
      <c r="H41" s="94" t="str">
        <f>(IF(A41&gt;'Time Trial'!$C$48,"",VLOOKUP(A41,'Time Trial'!$C$5:$O$46,6)))</f>
        <v/>
      </c>
      <c r="I41" s="95" t="str">
        <f>IF(H41="","",IF(H41="M",VLOOKUP(F41,$X$24:$Z$31,2)*VLOOKUP(G41,$AB$3:$AD$19,3),IF(H41="F",VLOOKUP(F41,$X$24:$Z$31,3)*VLOOKUP(G41,$AB$3:$AD$19,3))))</f>
        <v/>
      </c>
      <c r="J41" s="135" t="str">
        <f>IF(OR(I41="",I42="")=TRUE,"",IF(I41-I42&lt;=0,"",I41-I42))</f>
        <v/>
      </c>
      <c r="K41" s="131" t="str">
        <f>IF(J41="","",IF(J41=0,"","head start"))</f>
        <v/>
      </c>
      <c r="L41" s="82"/>
      <c r="N41" s="102"/>
    </row>
    <row r="42" spans="1:30" x14ac:dyDescent="0.25">
      <c r="A42" s="133" t="str">
        <f>IF(SEMI!L43="","",IF(SEMI!L43="W",SEMI!A43,IF(SEMI!L44="","",SEMI!A44)))</f>
        <v/>
      </c>
      <c r="B42" s="183"/>
      <c r="C42" s="190"/>
      <c r="D42" s="144" t="str">
        <f>IF(A42&gt;'Time Trial'!$C$48,"",VLOOKUP(A42,'Time Trial'!$C$5:$O$46,3))</f>
        <v/>
      </c>
      <c r="E42" s="61" t="str">
        <f>IF(A42&gt;'Time Trial'!$C$48,"",VLOOKUP(A42,'Time Trial'!$C$5:$O$46,2))</f>
        <v/>
      </c>
      <c r="F42" s="94" t="str">
        <f>IF(A42&gt;'Time Trial'!$C$48,"",VLOOKUP(A42,'Time Trial'!$C$5:$O$46,4))</f>
        <v/>
      </c>
      <c r="G42" s="94" t="str">
        <f>(IF(A42&gt;'Time Trial'!$C$48,"",VLOOKUP(A42,'Time Trial'!$C$5:$O$46,5)))</f>
        <v/>
      </c>
      <c r="H42" s="94" t="str">
        <f>(IF(A42&gt;'Time Trial'!$C$48,"",VLOOKUP(A42,'Time Trial'!$C$5:$O$46,6)))</f>
        <v/>
      </c>
      <c r="I42" s="95" t="str">
        <f>IF(H42="","",IF(H42="M",VLOOKUP(F42,$X$24:$Z$31,2)*VLOOKUP(G42,$AB$3:$AD$19,3),IF(H42="F",VLOOKUP(F42,$X$24:$Z$31,3)*VLOOKUP(G42,$AB$3:$AD$19,3))))</f>
        <v/>
      </c>
      <c r="J42" s="139" t="str">
        <f>IF(OR(I41="",I42="")=TRUE,"",IF(I42-I41&lt;=0,"",I42-I41))</f>
        <v/>
      </c>
      <c r="K42" s="140" t="str">
        <f>IF(J42="","",IF(J42=0,"","head start"))</f>
        <v/>
      </c>
      <c r="L42" s="83"/>
    </row>
    <row r="43" spans="1:30" x14ac:dyDescent="0.25">
      <c r="A43" s="130" t="str">
        <f>IF(SEMI!L41="","",IF(SEMI!L41="L",SEMI!A41,IF(SEMI!L42="","",SEMI!A42)))</f>
        <v/>
      </c>
      <c r="B43" s="182" t="str">
        <f>IF(COUNTIF(C43,"")=1,"","27th to 28th")</f>
        <v/>
      </c>
      <c r="C43" s="189" t="str">
        <f>IF(AND(NOT(D43="")=TRUE,NOT(D44="")=TRUE)=TRUE,MAX(C5:C42)+1,"")</f>
        <v/>
      </c>
      <c r="D43" s="145" t="str">
        <f>IF(A43&gt;'Time Trial'!$C$48,"",VLOOKUP(A43,'Time Trial'!$C$5:$O$46,3))</f>
        <v/>
      </c>
      <c r="E43" s="61" t="str">
        <f>IF(A43&gt;'Time Trial'!$C$48,"",VLOOKUP(A43,'Time Trial'!$C$5:$O$46,2))</f>
        <v/>
      </c>
      <c r="F43" s="94" t="str">
        <f>IF(A43&gt;'Time Trial'!$C$48,"",VLOOKUP(A43,'Time Trial'!$C$5:$O$46,4))</f>
        <v/>
      </c>
      <c r="G43" s="94" t="str">
        <f>(IF(A43&gt;'Time Trial'!$C$48,"",VLOOKUP(A43,'Time Trial'!$C$5:$O$46,5)))</f>
        <v/>
      </c>
      <c r="H43" s="94" t="str">
        <f>(IF(A43&gt;'Time Trial'!$C$48,"",VLOOKUP(A43,'Time Trial'!$C$5:$O$46,6)))</f>
        <v/>
      </c>
      <c r="I43" s="95" t="str">
        <f>IF(H43="","",IF(H43="M",VLOOKUP(F43,$X$24:$Z$31,2)*VLOOKUP(G43,$AB$3:$AD$19,3),IF(H43="F",VLOOKUP(F43,$X$24:$Z$31,3)*VLOOKUP(G43,$AB$3:$AD$19,3))))</f>
        <v/>
      </c>
      <c r="J43" s="139" t="str">
        <f>IF(OR(I43="",I44="")=TRUE,"",IF(I43-I44&lt;=0,"",I43-I44))</f>
        <v/>
      </c>
      <c r="K43" s="140" t="str">
        <f>IF(J43="","",IF(J43=0,"","head start"))</f>
        <v/>
      </c>
      <c r="L43" s="82"/>
    </row>
    <row r="44" spans="1:30" x14ac:dyDescent="0.25">
      <c r="A44" s="133" t="str">
        <f>IF(SEMI!L43="","",IF(SEMI!L43="L",SEMI!A43,IF(SEMI!L44="","",SEMI!A44)))</f>
        <v/>
      </c>
      <c r="B44" s="184"/>
      <c r="C44" s="190"/>
      <c r="D44" s="144" t="str">
        <f>IF(A44&gt;'Time Trial'!$C$48,"",VLOOKUP(A44,'Time Trial'!$C$5:$O$46,3))</f>
        <v/>
      </c>
      <c r="E44" s="61" t="str">
        <f>IF(A44&gt;'Time Trial'!$C$48,"",VLOOKUP(A44,'Time Trial'!$C$5:$O$46,2))</f>
        <v/>
      </c>
      <c r="F44" s="94" t="str">
        <f>IF(A44&gt;'Time Trial'!$C$48,"",VLOOKUP(A44,'Time Trial'!$C$5:$O$46,4))</f>
        <v/>
      </c>
      <c r="G44" s="94" t="str">
        <f>(IF(A44&gt;'Time Trial'!$C$48,"",VLOOKUP(A44,'Time Trial'!$C$5:$O$46,5)))</f>
        <v/>
      </c>
      <c r="H44" s="94" t="str">
        <f>(IF(A44&gt;'Time Trial'!$C$48,"",VLOOKUP(A44,'Time Trial'!$C$5:$O$46,6)))</f>
        <v/>
      </c>
      <c r="I44" s="95" t="str">
        <f>IF(H44="","",IF(H44="M",VLOOKUP(F44,$X$24:$Z$31,2)*VLOOKUP(G44,$AB$3:$AD$19,3),IF(H44="F",VLOOKUP(F44,$X$24:$Z$31,3)*VLOOKUP(G44,$AB$3:$AD$19,3))))</f>
        <v/>
      </c>
      <c r="J44" s="138" t="str">
        <f>IF(OR(I43="",I44="")=TRUE,"",IF(I44-I43&lt;=0,"",I44-I43))</f>
        <v/>
      </c>
      <c r="K44" s="132" t="str">
        <f>IF(J44="","",IF(J44=0,"","head start"))</f>
        <v/>
      </c>
      <c r="L44" s="83"/>
    </row>
    <row r="45" spans="1:30" x14ac:dyDescent="0.25">
      <c r="A45" s="179"/>
      <c r="B45" s="179"/>
      <c r="D45" s="179"/>
      <c r="J45" s="101"/>
      <c r="K45" s="101"/>
    </row>
    <row r="46" spans="1:30" x14ac:dyDescent="0.25">
      <c r="A46" s="26" t="s">
        <v>40</v>
      </c>
      <c r="B46" s="26" t="s">
        <v>41</v>
      </c>
      <c r="C46" s="160" t="s">
        <v>42</v>
      </c>
      <c r="D46" s="26" t="s">
        <v>43</v>
      </c>
      <c r="E46" s="87" t="s">
        <v>5</v>
      </c>
      <c r="F46" s="61" t="s">
        <v>44</v>
      </c>
      <c r="G46" s="61" t="s">
        <v>8</v>
      </c>
      <c r="H46" s="61" t="s">
        <v>9</v>
      </c>
      <c r="I46" s="61"/>
      <c r="J46" s="195" t="s">
        <v>15</v>
      </c>
      <c r="K46" s="196"/>
      <c r="L46" s="81" t="s">
        <v>45</v>
      </c>
    </row>
    <row r="47" spans="1:30" x14ac:dyDescent="0.25">
      <c r="A47" s="130" t="str">
        <f>IF(SEMI!L47="","",IF(SEMI!L47="W",SEMI!A47,IF(SEMI!L48="","",SEMI!A48)))</f>
        <v/>
      </c>
      <c r="B47" s="182" t="str">
        <f>IF(COUNTIF(C47,"")=1,"","29th to 30th")</f>
        <v/>
      </c>
      <c r="C47" s="189" t="str">
        <f>IF(AND(NOT(D47="")=TRUE,NOT(D48="")=TRUE)=TRUE,MAX(C5:C44)+1,"")</f>
        <v/>
      </c>
      <c r="D47" s="145" t="str">
        <f>IF(A47&gt;'Time Trial'!$C$48,"",VLOOKUP(A47,'Time Trial'!$C$5:$O$46,3))</f>
        <v/>
      </c>
      <c r="E47" s="61" t="str">
        <f>IF(A47&gt;'Time Trial'!$C$48,"",VLOOKUP(A47,'Time Trial'!$C$5:$O$46,2))</f>
        <v/>
      </c>
      <c r="F47" s="94" t="str">
        <f>IF(A47&gt;'Time Trial'!$C$48,"",VLOOKUP(A47,'Time Trial'!$C$5:$O$46,4))</f>
        <v/>
      </c>
      <c r="G47" s="94" t="str">
        <f>(IF(A47&gt;'Time Trial'!$C$48,"",VLOOKUP(A47,'Time Trial'!$C$5:$O$46,5)))</f>
        <v/>
      </c>
      <c r="H47" s="94" t="str">
        <f>(IF(A47&gt;'Time Trial'!$C$48,"",VLOOKUP(A47,'Time Trial'!$C$5:$O$46,6)))</f>
        <v/>
      </c>
      <c r="I47" s="95" t="str">
        <f>IF(H47="","",IF(H47="M",VLOOKUP(F47,$X$24:$Z$31,2)*VLOOKUP(G47,$AB$3:$AD$19,3),IF(H47="F",VLOOKUP(F47,$X$24:$Z$31,3)*VLOOKUP(G47,$AB$3:$AD$19,3))))</f>
        <v/>
      </c>
      <c r="J47" s="139" t="str">
        <f>IF(OR(I47="",I48="")=TRUE,"",IF(I47-I48&lt;=0,"",I47-I48))</f>
        <v/>
      </c>
      <c r="K47" s="140" t="str">
        <f>IF(J47="","",IF(J47=0,"","head start"))</f>
        <v/>
      </c>
      <c r="L47" s="82"/>
    </row>
    <row r="48" spans="1:30" x14ac:dyDescent="0.25">
      <c r="A48" s="133" t="str">
        <f>IF(SEMI!L49="","",IF(SEMI!L49="W",SEMI!A49,IF(SEMI!L50="","",SEMI!A50)))</f>
        <v/>
      </c>
      <c r="B48" s="183"/>
      <c r="C48" s="190"/>
      <c r="D48" s="144" t="str">
        <f>IF(A48&gt;'Time Trial'!$C$48,"",VLOOKUP(A48,'Time Trial'!$C$5:$O$46,3))</f>
        <v/>
      </c>
      <c r="E48" s="61" t="str">
        <f>IF(A48&gt;'Time Trial'!$C$48,"",VLOOKUP(A48,'Time Trial'!$C$5:$O$46,2))</f>
        <v/>
      </c>
      <c r="F48" s="94" t="str">
        <f>IF(A48&gt;'Time Trial'!$C$48,"",VLOOKUP(A48,'Time Trial'!$C$5:$O$46,4))</f>
        <v/>
      </c>
      <c r="G48" s="94" t="str">
        <f>(IF(A48&gt;'Time Trial'!$C$48,"",VLOOKUP(A48,'Time Trial'!$C$5:$O$46,5)))</f>
        <v/>
      </c>
      <c r="H48" s="94" t="str">
        <f>(IF(A48&gt;'Time Trial'!$C$48,"",VLOOKUP(A48,'Time Trial'!$C$5:$O$46,6)))</f>
        <v/>
      </c>
      <c r="I48" s="95" t="str">
        <f>IF(H48="","",IF(H48="M",VLOOKUP(F48,$X$24:$Z$31,2)*VLOOKUP(G48,$AB$3:$AD$19,3),IF(H48="F",VLOOKUP(F48,$X$24:$Z$31,3)*VLOOKUP(G48,$AB$3:$AD$19,3))))</f>
        <v/>
      </c>
      <c r="J48" s="135" t="str">
        <f>IF(OR(I47="",I48="")=TRUE,"",IF(I48-I47&lt;=0,"",I48-I47))</f>
        <v/>
      </c>
      <c r="K48" s="131" t="str">
        <f>IF(J48="","",IF(J48=0,"","head start"))</f>
        <v/>
      </c>
      <c r="L48" s="83"/>
    </row>
    <row r="49" spans="1:12" x14ac:dyDescent="0.25">
      <c r="A49" s="130" t="str">
        <f>IF(SEMI!L47="","",IF(SEMI!L47="L",SEMI!A47,IF(SEMI!L48="","",SEMI!A48)))</f>
        <v/>
      </c>
      <c r="B49" s="182" t="str">
        <f>IF(COUNTIF(C49,"")=1,"","31st to 32nd")</f>
        <v/>
      </c>
      <c r="C49" s="189" t="str">
        <f>IF(AND(NOT(D49="")=TRUE,NOT(D50="")=TRUE)=TRUE,MAX(C11:C48)+1,"")</f>
        <v/>
      </c>
      <c r="D49" s="145" t="str">
        <f>IF(A49&gt;'Time Trial'!$C$48,"",VLOOKUP(A49,'Time Trial'!$C$5:$O$46,3))</f>
        <v/>
      </c>
      <c r="E49" s="61" t="str">
        <f>IF(A49&gt;'Time Trial'!$C$48,"",VLOOKUP(A49,'Time Trial'!$C$5:$O$46,2))</f>
        <v/>
      </c>
      <c r="F49" s="94" t="str">
        <f>IF(A49&gt;'Time Trial'!$C$48,"",VLOOKUP(A49,'Time Trial'!$C$5:$O$46,4))</f>
        <v/>
      </c>
      <c r="G49" s="94" t="str">
        <f>(IF(A49&gt;'Time Trial'!$C$48,"",VLOOKUP(A49,'Time Trial'!$C$5:$O$46,5)))</f>
        <v/>
      </c>
      <c r="H49" s="94" t="str">
        <f>(IF(A49&gt;'Time Trial'!$C$48,"",VLOOKUP(A49,'Time Trial'!$C$5:$O$46,6)))</f>
        <v/>
      </c>
      <c r="I49" s="95" t="str">
        <f>IF(H49="","",IF(H49="M",VLOOKUP(F49,$X$24:$Z$31,2)*VLOOKUP(G49,$AB$3:$AD$19,3),IF(H49="F",VLOOKUP(F49,$X$24:$Z$31,3)*VLOOKUP(G49,$AB$3:$AD$19,3))))</f>
        <v/>
      </c>
      <c r="J49" s="139" t="str">
        <f>IF(OR(I49="",I50="")=TRUE,"",IF(I49-I50&lt;=0,"",I49-I50))</f>
        <v/>
      </c>
      <c r="K49" s="140" t="str">
        <f>IF(J49="","",IF(J49=0,"","head start"))</f>
        <v/>
      </c>
      <c r="L49" s="82"/>
    </row>
    <row r="50" spans="1:12" x14ac:dyDescent="0.25">
      <c r="A50" s="133" t="str">
        <f>IF(SEMI!L49="","",IF(SEMI!L49="L",SEMI!A49,IF(SEMI!L50="","",SEMI!A50)))</f>
        <v/>
      </c>
      <c r="B50" s="184"/>
      <c r="C50" s="190"/>
      <c r="D50" s="144" t="str">
        <f>IF(A50&gt;'Time Trial'!$C$48,"",VLOOKUP(A50,'Time Trial'!$C$5:$O$46,3))</f>
        <v/>
      </c>
      <c r="E50" s="61" t="str">
        <f>IF(A50&gt;'Time Trial'!$C$48,"",VLOOKUP(A50,'Time Trial'!$C$5:$O$46,2))</f>
        <v/>
      </c>
      <c r="F50" s="94" t="str">
        <f>IF(A50&gt;'Time Trial'!$C$48,"",VLOOKUP(A50,'Time Trial'!$C$5:$O$46,4))</f>
        <v/>
      </c>
      <c r="G50" s="94" t="str">
        <f>(IF(A50&gt;'Time Trial'!$C$48,"",VLOOKUP(A50,'Time Trial'!$C$5:$O$46,5)))</f>
        <v/>
      </c>
      <c r="H50" s="94" t="str">
        <f>(IF(A50&gt;'Time Trial'!$C$48,"",VLOOKUP(A50,'Time Trial'!$C$5:$O$46,6)))</f>
        <v/>
      </c>
      <c r="I50" s="95" t="str">
        <f>IF(H50="","",IF(H50="M",VLOOKUP(F50,$X$24:$Z$31,2)*VLOOKUP(G50,$AB$3:$AD$19,3),IF(H50="F",VLOOKUP(F50,$X$24:$Z$31,3)*VLOOKUP(G50,$AB$3:$AD$19,3))))</f>
        <v/>
      </c>
      <c r="J50" s="138" t="str">
        <f>IF(OR(I49="",I50="")=TRUE,"",IF(I50-I49&lt;=0,"",I50-I49))</f>
        <v/>
      </c>
      <c r="K50" s="132" t="str">
        <f>IF(J50="","",IF(J50=0,"","head start"))</f>
        <v/>
      </c>
      <c r="L50" s="83"/>
    </row>
    <row r="51" spans="1:12" x14ac:dyDescent="0.25">
      <c r="A51" s="179"/>
      <c r="B51" s="179"/>
      <c r="D51" s="179"/>
      <c r="J51" s="101"/>
      <c r="K51" s="101"/>
    </row>
    <row r="52" spans="1:12" x14ac:dyDescent="0.25">
      <c r="A52" s="26" t="s">
        <v>40</v>
      </c>
      <c r="B52" s="26" t="s">
        <v>41</v>
      </c>
      <c r="C52" s="160" t="s">
        <v>42</v>
      </c>
      <c r="D52" s="26" t="s">
        <v>43</v>
      </c>
      <c r="E52" s="87" t="s">
        <v>5</v>
      </c>
      <c r="F52" s="61" t="s">
        <v>44</v>
      </c>
      <c r="G52" s="61" t="s">
        <v>8</v>
      </c>
      <c r="H52" s="61" t="s">
        <v>9</v>
      </c>
      <c r="I52" s="61"/>
      <c r="J52" s="195" t="s">
        <v>15</v>
      </c>
      <c r="K52" s="196"/>
      <c r="L52" s="81" t="s">
        <v>45</v>
      </c>
    </row>
    <row r="53" spans="1:12" x14ac:dyDescent="0.25">
      <c r="A53" s="130" t="str">
        <f>IF(SEMI!L53="","",IF(SEMI!L53="W",SEMI!A53,IF(SEMI!L54="","",SEMI!A54)))</f>
        <v/>
      </c>
      <c r="B53" s="182" t="str">
        <f>IF(COUNTIF(C53,"")=1,"","33rd to 34th")</f>
        <v/>
      </c>
      <c r="C53" s="189" t="str">
        <f>IF(AND(NOT(D53="")=TRUE,NOT(D54="")=TRUE)=TRUE,MAX(C5:C50)+1,"")</f>
        <v/>
      </c>
      <c r="D53" s="145" t="str">
        <f>IF(A53&gt;'Time Trial'!$C$48,"",VLOOKUP(A53,'Time Trial'!$C$5:$O$46,3))</f>
        <v/>
      </c>
      <c r="E53" s="61" t="str">
        <f>IF(A53&gt;'Time Trial'!$C$48,"",VLOOKUP(A53,'Time Trial'!$C$5:$O$46,2))</f>
        <v/>
      </c>
      <c r="F53" s="94" t="str">
        <f>IF(A53&gt;'Time Trial'!$C$48,"",VLOOKUP(A53,'Time Trial'!$C$5:$O$46,4))</f>
        <v/>
      </c>
      <c r="G53" s="94" t="str">
        <f>(IF(A53&gt;'Time Trial'!$C$48,"",VLOOKUP(A53,'Time Trial'!$C$5:$O$46,5)))</f>
        <v/>
      </c>
      <c r="H53" s="94" t="str">
        <f>(IF(A53&gt;'Time Trial'!$C$48,"",VLOOKUP(A53,'Time Trial'!$C$5:$O$46,6)))</f>
        <v/>
      </c>
      <c r="I53" s="95" t="str">
        <f>IF(H53="","",IF(H53="M",VLOOKUP(F53,$X$24:$Z$31,2)*VLOOKUP(G53,$AB$3:$AD$19,3),IF(H53="F",VLOOKUP(F53,$X$24:$Z$31,3)*VLOOKUP(G53,$AB$3:$AD$19,3))))</f>
        <v/>
      </c>
      <c r="J53" s="135" t="str">
        <f>IF(OR(I53="",I54="")=TRUE,"",IF(I53-I54&lt;=0,"",I53-I54))</f>
        <v/>
      </c>
      <c r="K53" s="131" t="str">
        <f>IF(J53="","",IF(J53=0,"","head start"))</f>
        <v/>
      </c>
      <c r="L53" s="82"/>
    </row>
    <row r="54" spans="1:12" x14ac:dyDescent="0.25">
      <c r="A54" s="133" t="str">
        <f>IF(SEMI!L55="","",IF(SEMI!L55="W",SEMI!A55,IF(SEMI!L56="","",SEMI!A56)))</f>
        <v/>
      </c>
      <c r="B54" s="183"/>
      <c r="C54" s="190"/>
      <c r="D54" s="144" t="str">
        <f>IF(A54&gt;'Time Trial'!$C$48,"",VLOOKUP(A54,'Time Trial'!$C$5:$O$46,3))</f>
        <v/>
      </c>
      <c r="E54" s="61" t="str">
        <f>IF(A54&gt;'Time Trial'!$C$48,"",VLOOKUP(A54,'Time Trial'!$C$5:$O$46,2))</f>
        <v/>
      </c>
      <c r="F54" s="94" t="str">
        <f>IF(A54&gt;'Time Trial'!$C$48,"",VLOOKUP(A54,'Time Trial'!$C$5:$O$46,4))</f>
        <v/>
      </c>
      <c r="G54" s="94" t="str">
        <f>(IF(A54&gt;'Time Trial'!$C$48,"",VLOOKUP(A54,'Time Trial'!$C$5:$O$46,5)))</f>
        <v/>
      </c>
      <c r="H54" s="94" t="str">
        <f>(IF(A54&gt;'Time Trial'!$C$48,"",VLOOKUP(A54,'Time Trial'!$C$5:$O$46,6)))</f>
        <v/>
      </c>
      <c r="I54" s="95" t="str">
        <f>IF(H54="","",IF(H54="M",VLOOKUP(F54,$X$24:$Z$31,2)*VLOOKUP(G54,$AB$3:$AD$19,3),IF(H54="F",VLOOKUP(F54,$X$24:$Z$31,3)*VLOOKUP(G54,$AB$3:$AD$19,3))))</f>
        <v/>
      </c>
      <c r="J54" s="139" t="str">
        <f>IF(OR(I53="",I54="")=TRUE,"",IF(I54-I53&lt;0,"",I54-I53))</f>
        <v/>
      </c>
      <c r="K54" s="140" t="str">
        <f>IF(J54="","",IF(J54=0,"","head start"))</f>
        <v/>
      </c>
      <c r="L54" s="83"/>
    </row>
    <row r="55" spans="1:12" x14ac:dyDescent="0.25">
      <c r="A55" s="130" t="str">
        <f>IF(SEMI!L53="","",IF(SEMI!L53="L",SEMI!A53,IF(SEMI!L54="","",SEMI!A54)))</f>
        <v/>
      </c>
      <c r="B55" s="182" t="str">
        <f>IF(COUNTIF(C55,"")=1,"","35th to 36th")</f>
        <v/>
      </c>
      <c r="C55" s="189" t="str">
        <f>IF(AND(NOT(D55="")=TRUE,NOT(D56="")=TRUE)=TRUE,MAX(C5:C54)+1,"")</f>
        <v/>
      </c>
      <c r="D55" s="145" t="str">
        <f>IF(A55&gt;'Time Trial'!$C$48,"",VLOOKUP(A55,'Time Trial'!$C$5:$O$46,3))</f>
        <v/>
      </c>
      <c r="E55" s="61" t="str">
        <f>IF(A55&gt;'Time Trial'!$C$48,"",VLOOKUP(A55,'Time Trial'!$C$5:$O$46,2))</f>
        <v/>
      </c>
      <c r="F55" s="94" t="str">
        <f>IF(A55&gt;'Time Trial'!$C$48,"",VLOOKUP(A55,'Time Trial'!$C$5:$O$46,4))</f>
        <v/>
      </c>
      <c r="G55" s="94" t="str">
        <f>(IF(A55&gt;'Time Trial'!$C$48,"",VLOOKUP(A55,'Time Trial'!$C$5:$O$46,5)))</f>
        <v/>
      </c>
      <c r="H55" s="94" t="str">
        <f>(IF(A55&gt;'Time Trial'!$C$48,"",VLOOKUP(A55,'Time Trial'!$C$5:$O$46,6)))</f>
        <v/>
      </c>
      <c r="I55" s="95" t="str">
        <f>IF(H55="","",IF(H55="M",VLOOKUP(F55,$X$24:$Z$31,2)*VLOOKUP(G55,$AB$3:$AD$19,3),IF(H55="F",VLOOKUP(F55,$X$24:$Z$31,3)*VLOOKUP(G55,$AB$3:$AD$19,3))))</f>
        <v/>
      </c>
      <c r="J55" s="136" t="str">
        <f>IF(OR(I55="",I56="")=TRUE,"",IF(I55-I56&lt;=0,"",I55-I56))</f>
        <v/>
      </c>
      <c r="K55" s="137" t="str">
        <f>IF(J55="","",IF(J55=0,"","head start"))</f>
        <v/>
      </c>
      <c r="L55" s="82"/>
    </row>
    <row r="56" spans="1:12" x14ac:dyDescent="0.25">
      <c r="A56" s="133" t="str">
        <f>IF(SEMI!L55="","",IF(SEMI!L55="L",SEMI!A55,IF(SEMI!L56="","",SEMI!A56)))</f>
        <v/>
      </c>
      <c r="B56" s="184"/>
      <c r="C56" s="190"/>
      <c r="D56" s="144" t="str">
        <f>IF(A56&gt;'Time Trial'!$C$48,"",VLOOKUP(A56,'Time Trial'!$C$5:$O$46,3))</f>
        <v/>
      </c>
      <c r="E56" s="61" t="str">
        <f>IF(A56&gt;'Time Trial'!$C$48,"",VLOOKUP(A56,'Time Trial'!$C$5:$O$46,2))</f>
        <v/>
      </c>
      <c r="F56" s="94" t="str">
        <f>IF(A56&gt;'Time Trial'!$C$48,"",VLOOKUP(A56,'Time Trial'!$C$5:$O$46,4))</f>
        <v/>
      </c>
      <c r="G56" s="94" t="str">
        <f>(IF(A56&gt;'Time Trial'!$C$48,"",VLOOKUP(A56,'Time Trial'!$C$5:$O$46,5)))</f>
        <v/>
      </c>
      <c r="H56" s="94" t="str">
        <f>(IF(A56&gt;'Time Trial'!$C$48,"",VLOOKUP(A56,'Time Trial'!$C$5:$O$46,6)))</f>
        <v/>
      </c>
      <c r="I56" s="95" t="str">
        <f>IF(H56="","",IF(H56="M",VLOOKUP(F56,$X$24:$Z$31,2)*VLOOKUP(G56,$AB$3:$AD$19,3),IF(H56="F",VLOOKUP(F56,$X$24:$Z$31,3)*VLOOKUP(G56,$AB$3:$AD$19,3))))</f>
        <v/>
      </c>
      <c r="J56" s="139" t="str">
        <f>IF(OR(I55="",I56="")=TRUE,"",IF(I56-I55&lt;=0,"",I56-I55))</f>
        <v/>
      </c>
      <c r="K56" s="140" t="str">
        <f>IF(J56="","",IF(J56=0,"","head start"))</f>
        <v/>
      </c>
      <c r="L56" s="83"/>
    </row>
    <row r="57" spans="1:12" x14ac:dyDescent="0.25">
      <c r="A57" s="179"/>
      <c r="B57" s="179"/>
      <c r="D57" s="179"/>
      <c r="J57" s="101"/>
      <c r="K57" s="101"/>
    </row>
    <row r="58" spans="1:12" x14ac:dyDescent="0.25">
      <c r="A58" s="26" t="s">
        <v>40</v>
      </c>
      <c r="B58" s="26" t="s">
        <v>41</v>
      </c>
      <c r="C58" s="160" t="s">
        <v>42</v>
      </c>
      <c r="D58" s="26" t="s">
        <v>43</v>
      </c>
      <c r="E58" s="87" t="s">
        <v>5</v>
      </c>
      <c r="F58" s="61" t="s">
        <v>44</v>
      </c>
      <c r="G58" s="61" t="s">
        <v>8</v>
      </c>
      <c r="H58" s="61" t="s">
        <v>9</v>
      </c>
      <c r="I58" s="61"/>
      <c r="J58" s="195" t="s">
        <v>15</v>
      </c>
      <c r="K58" s="196"/>
      <c r="L58" s="81" t="s">
        <v>45</v>
      </c>
    </row>
    <row r="59" spans="1:12" x14ac:dyDescent="0.25">
      <c r="A59" s="130" t="str">
        <f>IF(SEMI!L59="","",IF(SEMI!L59="W",SEMI!A59,IF(SEMI!L60="","",SEMI!A60)))</f>
        <v/>
      </c>
      <c r="B59" s="182" t="str">
        <f>IF(COUNTIF(C59,"")=1,"","37th to 38th")</f>
        <v/>
      </c>
      <c r="C59" s="189" t="str">
        <f>IF(AND(NOT(D59="")=TRUE,NOT(D60="")=TRUE)=TRUE,MAX(C5:C56)+1,"")</f>
        <v/>
      </c>
      <c r="D59" s="145" t="str">
        <f>IF(A59&gt;'Time Trial'!$C$48,"",VLOOKUP(A59,'Time Trial'!$C$5:$O$46,3))</f>
        <v/>
      </c>
      <c r="E59" s="61" t="str">
        <f>IF(A59&gt;'Time Trial'!$C$48,"",VLOOKUP(A59,'Time Trial'!$C$5:$O$46,2))</f>
        <v/>
      </c>
      <c r="F59" s="94" t="str">
        <f>IF(A59&gt;'Time Trial'!$C$48,"",VLOOKUP(A59,'Time Trial'!$C$5:$O$46,4))</f>
        <v/>
      </c>
      <c r="G59" s="94" t="str">
        <f>(IF(A59&gt;'Time Trial'!$C$48,"",VLOOKUP(A59,'Time Trial'!$C$5:$O$46,5)))</f>
        <v/>
      </c>
      <c r="H59" s="94" t="str">
        <f>(IF(A59&gt;'Time Trial'!$C$48,"",VLOOKUP(A59,'Time Trial'!$C$5:$O$46,6)))</f>
        <v/>
      </c>
      <c r="I59" s="95" t="str">
        <f>IF(H59="","",IF(H59="M",VLOOKUP(F59,$X$24:$Z$31,2)*VLOOKUP(G59,$AB$3:$AD$19,3),IF(H59="F",VLOOKUP(F59,$X$24:$Z$31,3)*VLOOKUP(G59,$AB$3:$AD$19,3))))</f>
        <v/>
      </c>
      <c r="J59" s="135" t="str">
        <f>IF(OR(I59="",I60="")=TRUE,"",IF(I59-I60&lt;=0,"",I59-I60))</f>
        <v/>
      </c>
      <c r="K59" s="131" t="str">
        <f>IF(J59="","",IF(J59=0,"","head start"))</f>
        <v/>
      </c>
      <c r="L59" s="82"/>
    </row>
    <row r="60" spans="1:12" x14ac:dyDescent="0.25">
      <c r="A60" s="133" t="str">
        <f>IF(SEMI!L61="","",IF(SEMI!L61="W",SEMI!A61,IF(SEMI!L62="","",SEMI!A62)))</f>
        <v/>
      </c>
      <c r="B60" s="183"/>
      <c r="C60" s="190"/>
      <c r="D60" s="144" t="str">
        <f>IF(A60&gt;'Time Trial'!$C$48,"",VLOOKUP(A60,'Time Trial'!$C$5:$O$46,3))</f>
        <v/>
      </c>
      <c r="E60" s="61" t="str">
        <f>IF(A60&gt;'Time Trial'!$C$48,"",VLOOKUP(A60,'Time Trial'!$C$5:$O$46,2))</f>
        <v/>
      </c>
      <c r="F60" s="94" t="str">
        <f>IF(A60&gt;'Time Trial'!$C$48,"",VLOOKUP(A60,'Time Trial'!$C$5:$O$46,4))</f>
        <v/>
      </c>
      <c r="G60" s="94" t="str">
        <f>(IF(A60&gt;'Time Trial'!$C$48,"",VLOOKUP(A60,'Time Trial'!$C$5:$O$46,5)))</f>
        <v/>
      </c>
      <c r="H60" s="94" t="str">
        <f>(IF(A60&gt;'Time Trial'!$C$48,"",VLOOKUP(A60,'Time Trial'!$C$5:$O$46,6)))</f>
        <v/>
      </c>
      <c r="I60" s="95" t="str">
        <f>IF(H60="","",IF(H60="M",VLOOKUP(F60,$X$24:$Z$31,2)*VLOOKUP(G60,$AB$3:$AD$19,3),IF(H60="F",VLOOKUP(F60,$X$24:$Z$31,3)*VLOOKUP(G60,$AB$3:$AD$19,3))))</f>
        <v/>
      </c>
      <c r="J60" s="139" t="str">
        <f>IF(OR(I59="",I60="")=TRUE,"",IF(I60-I59&lt;=0,"",I60-I59))</f>
        <v/>
      </c>
      <c r="K60" s="140" t="str">
        <f>IF(J60="","",IF(J60=0,"","head start"))</f>
        <v/>
      </c>
      <c r="L60" s="83"/>
    </row>
    <row r="61" spans="1:12" x14ac:dyDescent="0.25">
      <c r="A61" s="130" t="str">
        <f>IF(SEMI!L59="","",IF(SEMI!L59="L",SEMI!A59,IF(SEMI!L60="","",SEMI!A60)))</f>
        <v/>
      </c>
      <c r="B61" s="182" t="str">
        <f>IF(COUNTIF(C61,"")=1,"","39th to 40th")</f>
        <v/>
      </c>
      <c r="C61" s="189" t="str">
        <f>IF(AND(NOT(D61="")=TRUE,NOT(D62="")=TRUE)=TRUE,MAX(C7:C60)+1,"")</f>
        <v/>
      </c>
      <c r="D61" s="145" t="str">
        <f>IF(A61&gt;'Time Trial'!$C$48,"",VLOOKUP(A61,'Time Trial'!$C$5:$O$46,3))</f>
        <v/>
      </c>
      <c r="E61" s="61" t="str">
        <f>IF(A61&gt;'Time Trial'!$C$48,"",VLOOKUP(A61,'Time Trial'!$C$5:$O$46,2))</f>
        <v/>
      </c>
      <c r="F61" s="94" t="str">
        <f>IF(A61&gt;'Time Trial'!$C$48,"",VLOOKUP(A61,'Time Trial'!$C$5:$O$46,4))</f>
        <v/>
      </c>
      <c r="G61" s="94" t="str">
        <f>(IF(A61&gt;'Time Trial'!$C$48,"",VLOOKUP(A61,'Time Trial'!$C$5:$O$46,5)))</f>
        <v/>
      </c>
      <c r="H61" s="94" t="str">
        <f>(IF(A61&gt;'Time Trial'!$C$48,"",VLOOKUP(A61,'Time Trial'!$C$5:$O$46,6)))</f>
        <v/>
      </c>
      <c r="I61" s="95" t="str">
        <f>IF(H61="","",IF(H61="M",VLOOKUP(F61,$X$24:$Z$31,2)*VLOOKUP(G61,$AB$3:$AD$19,3),IF(H61="F",VLOOKUP(F61,$X$24:$Z$31,3)*VLOOKUP(G61,$AB$3:$AD$19,3))))</f>
        <v/>
      </c>
      <c r="J61" s="136" t="str">
        <f>IF(OR(I61="",I62="")=TRUE,"",IF(I61-I62&lt;=0,"",I61-I62))</f>
        <v/>
      </c>
      <c r="K61" s="137" t="str">
        <f>IF(J61="","",IF(J61=0,"","head start"))</f>
        <v/>
      </c>
      <c r="L61" s="82"/>
    </row>
    <row r="62" spans="1:12" x14ac:dyDescent="0.25">
      <c r="A62" s="133" t="str">
        <f>IF(SEMI!L61="","",IF(SEMI!L61="L",SEMI!A61,IF(SEMI!L62="","",SEMI!A62)))</f>
        <v/>
      </c>
      <c r="B62" s="184"/>
      <c r="C62" s="190"/>
      <c r="D62" s="144" t="str">
        <f>IF(A62&gt;'Time Trial'!$C$48,"",VLOOKUP(A62,'Time Trial'!$C$5:$O$46,3))</f>
        <v/>
      </c>
      <c r="E62" s="61" t="str">
        <f>IF(A62&gt;'Time Trial'!$C$48,"",VLOOKUP(A62,'Time Trial'!$C$5:$O$46,2))</f>
        <v/>
      </c>
      <c r="F62" s="94" t="str">
        <f>IF(A62&gt;'Time Trial'!$C$48,"",VLOOKUP(A62,'Time Trial'!$C$5:$O$46,4))</f>
        <v/>
      </c>
      <c r="G62" s="94" t="str">
        <f>(IF(A62&gt;'Time Trial'!$C$48,"",VLOOKUP(A62,'Time Trial'!$C$5:$O$46,5)))</f>
        <v/>
      </c>
      <c r="H62" s="94" t="str">
        <f>(IF(A62&gt;'Time Trial'!$C$48,"",VLOOKUP(A62,'Time Trial'!$C$5:$O$46,6)))</f>
        <v/>
      </c>
      <c r="I62" s="95" t="str">
        <f>IF(H62="","",IF(H62="M",VLOOKUP(F62,$X$24:$Z$31,2)*VLOOKUP(G62,$AB$3:$AD$19,3),IF(H62="F",VLOOKUP(F62,$X$24:$Z$31,3)*VLOOKUP(G62,$AB$3:$AD$19,3))))</f>
        <v/>
      </c>
      <c r="J62" s="139" t="str">
        <f>IF(OR(I61="",I62="")=TRUE,"",IF(I62-I61&lt;=0,"",I62-I61))</f>
        <v/>
      </c>
      <c r="K62" s="140" t="str">
        <f>IF(J62="","",IF(J62=0,"","head start"))</f>
        <v/>
      </c>
      <c r="L62" s="83"/>
    </row>
  </sheetData>
  <mergeCells count="54">
    <mergeCell ref="B55:B56"/>
    <mergeCell ref="B59:B60"/>
    <mergeCell ref="B61:B62"/>
    <mergeCell ref="B37:B38"/>
    <mergeCell ref="B41:B42"/>
    <mergeCell ref="B43:B44"/>
    <mergeCell ref="B47:B48"/>
    <mergeCell ref="B49:B50"/>
    <mergeCell ref="B53:B54"/>
    <mergeCell ref="B25:B26"/>
    <mergeCell ref="B29:B30"/>
    <mergeCell ref="B31:B32"/>
    <mergeCell ref="B5:B6"/>
    <mergeCell ref="B7:B8"/>
    <mergeCell ref="B11:B12"/>
    <mergeCell ref="B13:B14"/>
    <mergeCell ref="B17:B18"/>
    <mergeCell ref="B35:B36"/>
    <mergeCell ref="C35:C36"/>
    <mergeCell ref="C31:C32"/>
    <mergeCell ref="C37:C38"/>
    <mergeCell ref="J4:K4"/>
    <mergeCell ref="J16:K16"/>
    <mergeCell ref="J28:K28"/>
    <mergeCell ref="C17:C18"/>
    <mergeCell ref="C19:C20"/>
    <mergeCell ref="C23:C24"/>
    <mergeCell ref="C25:C26"/>
    <mergeCell ref="J34:K34"/>
    <mergeCell ref="C29:C30"/>
    <mergeCell ref="C13:C14"/>
    <mergeCell ref="B19:B20"/>
    <mergeCell ref="B23:B24"/>
    <mergeCell ref="Y1:Z1"/>
    <mergeCell ref="J22:K22"/>
    <mergeCell ref="J10:K10"/>
    <mergeCell ref="AC2:AD2"/>
    <mergeCell ref="C5:C6"/>
    <mergeCell ref="C7:C8"/>
    <mergeCell ref="C11:C12"/>
    <mergeCell ref="AA1:AB1"/>
    <mergeCell ref="Y22:Z22"/>
    <mergeCell ref="J40:K40"/>
    <mergeCell ref="C41:C42"/>
    <mergeCell ref="C43:C44"/>
    <mergeCell ref="J46:K46"/>
    <mergeCell ref="C47:C48"/>
    <mergeCell ref="C59:C60"/>
    <mergeCell ref="C61:C62"/>
    <mergeCell ref="C49:C50"/>
    <mergeCell ref="J52:K52"/>
    <mergeCell ref="C53:C54"/>
    <mergeCell ref="C55:C56"/>
    <mergeCell ref="J58:K58"/>
  </mergeCells>
  <phoneticPr fontId="7" type="noConversion"/>
  <conditionalFormatting sqref="J5:K8 J11:K14 J17:K20 J23:K26 J29:K32 J35:K38 J41:K44 J47:K50 J53:K56 J59:K62">
    <cfRule type="notContainsBlanks" dxfId="0" priority="1">
      <formula>LEN(TRIM(J5))&gt;0</formula>
    </cfRule>
  </conditionalFormatting>
  <dataValidations count="1">
    <dataValidation type="list" allowBlank="1" showInputMessage="1" showErrorMessage="1" sqref="L23:L26 L11:L14 L5:L8 L17:L20 L29:L32 L35:L38 L41:L44 L47:L50 L53:L56 L59:L62" xr:uid="{00000000-0002-0000-0200-000000000000}">
      <formula1>"W,L"</formula1>
    </dataValidation>
  </dataValidations>
  <pageMargins left="0.7" right="0.7" top="0.75" bottom="0.75" header="0.3" footer="0.3"/>
  <pageSetup paperSize="9" scale="93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42"/>
  <sheetViews>
    <sheetView zoomScaleNormal="150" workbookViewId="0">
      <selection activeCell="Q26" sqref="Q26"/>
    </sheetView>
  </sheetViews>
  <sheetFormatPr defaultColWidth="8.85546875" defaultRowHeight="15" x14ac:dyDescent="0.25"/>
  <cols>
    <col min="1" max="1" width="9.28515625" customWidth="1"/>
    <col min="2" max="14" width="10.140625" customWidth="1"/>
    <col min="17" max="17" width="10.85546875" bestFit="1" customWidth="1"/>
    <col min="18" max="18" width="27.7109375" customWidth="1"/>
    <col min="19" max="19" width="17" bestFit="1" customWidth="1"/>
  </cols>
  <sheetData>
    <row r="2" spans="1:22" ht="27.95" customHeight="1" x14ac:dyDescent="0.25">
      <c r="A2" s="107" t="s">
        <v>46</v>
      </c>
      <c r="B2" s="107" t="s">
        <v>47</v>
      </c>
      <c r="C2" s="107" t="s">
        <v>48</v>
      </c>
      <c r="D2" s="107" t="s">
        <v>49</v>
      </c>
      <c r="E2" s="107" t="s">
        <v>50</v>
      </c>
      <c r="F2" s="107" t="s">
        <v>51</v>
      </c>
      <c r="G2" s="117" t="str">
        <f>Q3</f>
        <v>LSRA</v>
      </c>
      <c r="H2" s="117" t="str">
        <f>Q4</f>
        <v>LUBC</v>
      </c>
      <c r="I2" s="117" t="str">
        <f>Q5</f>
        <v>JOG</v>
      </c>
      <c r="J2" s="117" t="str">
        <f>Q6</f>
        <v>LRGSBC</v>
      </c>
      <c r="K2" s="117" t="str">
        <f>Q3</f>
        <v>LSRA</v>
      </c>
      <c r="L2" s="117" t="str">
        <f>Q4</f>
        <v>LUBC</v>
      </c>
      <c r="M2" s="117" t="str">
        <f>Q5</f>
        <v>JOG</v>
      </c>
      <c r="N2" s="117" t="str">
        <f>Q6</f>
        <v>LRGSBC</v>
      </c>
      <c r="P2" s="172" t="s">
        <v>4</v>
      </c>
      <c r="Q2" s="172" t="s">
        <v>5</v>
      </c>
      <c r="R2" s="172" t="s">
        <v>52</v>
      </c>
      <c r="S2" s="173" t="s">
        <v>53</v>
      </c>
    </row>
    <row r="3" spans="1:22" x14ac:dyDescent="0.25">
      <c r="A3" s="55" t="str">
        <f>IF(B3="","",1)</f>
        <v/>
      </c>
      <c r="B3" s="108" t="str">
        <f>IF(FINAL!L5="W",FINAL!D5,IF(FINAL!L6="W",FINAL!D6,""))</f>
        <v/>
      </c>
      <c r="C3" s="108" t="str">
        <f>IF(F3="","",VLOOKUP(F3,'Time Trial'!$C$5:$K$46,2))</f>
        <v/>
      </c>
      <c r="D3" s="108" t="str">
        <f>IF(F3="","",VLOOKUP(F3,'Time Trial'!$C$5:$K$46,4))</f>
        <v/>
      </c>
      <c r="E3" s="108" t="str">
        <f>IF(D3="","",VLOOKUP(D3,$U$4:$V$11,2))</f>
        <v/>
      </c>
      <c r="F3" s="108" t="str">
        <f>IF(B3="","",MATCH(B3,'Time Trial'!$E$5:$E$46,0))</f>
        <v/>
      </c>
      <c r="G3" s="98" t="str">
        <f>IF(C3=$G$2,E3,"")</f>
        <v/>
      </c>
      <c r="H3" s="98" t="str">
        <f>IF(C3=$H$2,E3,"")</f>
        <v/>
      </c>
      <c r="I3" s="98" t="str">
        <f>IF(C3=$I$2,E3,"")</f>
        <v/>
      </c>
      <c r="J3" s="98" t="str">
        <f>IF(C3=$J$2,E3,"")</f>
        <v/>
      </c>
      <c r="K3" s="98" t="str">
        <f>IF(C3=$Q$3,E3,"")</f>
        <v/>
      </c>
      <c r="L3" s="98" t="str">
        <f>IF(C3=$Q$4,E3,"")</f>
        <v/>
      </c>
      <c r="M3" s="98" t="str">
        <f>IF(C3=$Q$5,E3,"")</f>
        <v/>
      </c>
      <c r="N3" s="98" t="str">
        <f>IF(C3=$Q$6,E3,"")</f>
        <v/>
      </c>
      <c r="P3" s="53"/>
      <c r="Q3" s="61" t="s">
        <v>31</v>
      </c>
      <c r="R3" s="61"/>
      <c r="S3" s="61"/>
    </row>
    <row r="4" spans="1:22" x14ac:dyDescent="0.25">
      <c r="A4" s="55" t="str">
        <f>IF(B4="","",2)</f>
        <v/>
      </c>
      <c r="B4" s="108" t="str">
        <f>IF(FINAL!L6="L",FINAL!D6,IF(FINAL!L5="L",FINAL!D5,""))</f>
        <v/>
      </c>
      <c r="C4" s="108" t="str">
        <f>IF(F4="","",VLOOKUP(F4,'Time Trial'!$C$5:$K$46,2))</f>
        <v/>
      </c>
      <c r="D4" s="108" t="str">
        <f>IF(F4="","",VLOOKUP(F4,'Time Trial'!$C$5:$K$46,4))</f>
        <v/>
      </c>
      <c r="E4" s="108" t="str">
        <f t="shared" ref="E4:E42" si="0">IF(D4="","",E3+VLOOKUP(D4,$U$4:$V$11,2))</f>
        <v/>
      </c>
      <c r="F4" s="108" t="str">
        <f>IF(B4="","",MATCH(B4,'Time Trial'!$E$5:$E$46,0))</f>
        <v/>
      </c>
      <c r="G4" s="98" t="str">
        <f>IF(C4=$G$2,E4*(E4-E3),"")</f>
        <v/>
      </c>
      <c r="H4" s="98" t="str">
        <f>IF(C4=$H$2,E4*(E4-E3),"")</f>
        <v/>
      </c>
      <c r="I4" s="98" t="str">
        <f>IF(C4=$I$2,E4*(E4-E3),"")</f>
        <v/>
      </c>
      <c r="J4" s="98" t="str">
        <f>IF(C4=$J$2,E4*(E4-E3),"")</f>
        <v/>
      </c>
      <c r="K4" s="98" t="str">
        <f>IF(C4=$Q$3,E4-E3,"")</f>
        <v/>
      </c>
      <c r="L4" s="98" t="str">
        <f>IF(C4=$Q$4,E4-E3,"")</f>
        <v/>
      </c>
      <c r="M4" s="98" t="str">
        <f>IF(C4=$Q$5,E4-E3,"")</f>
        <v/>
      </c>
      <c r="N4" s="98" t="str">
        <f>IF(C4=$Q$6,E4-E3,"")</f>
        <v/>
      </c>
      <c r="P4" s="53"/>
      <c r="Q4" s="61" t="s">
        <v>28</v>
      </c>
      <c r="R4" s="61"/>
      <c r="S4" s="61"/>
      <c r="U4" s="53" t="s">
        <v>22</v>
      </c>
      <c r="V4" s="53">
        <v>1</v>
      </c>
    </row>
    <row r="5" spans="1:22" x14ac:dyDescent="0.25">
      <c r="A5" s="55" t="str">
        <f>IF(B5="","",3)</f>
        <v/>
      </c>
      <c r="B5" s="174" t="str">
        <f>IF(FINAL!L7="W",FINAL!D7,IF(FINAL!L8="W",FINAL!D8,""))</f>
        <v/>
      </c>
      <c r="C5" s="108" t="str">
        <f>IF(F5="","",VLOOKUP(F5,'Time Trial'!$C$5:$K$46,2))</f>
        <v/>
      </c>
      <c r="D5" s="108" t="str">
        <f>IF(F5="","",VLOOKUP(F5,'Time Trial'!$C$5:$K$46,4))</f>
        <v/>
      </c>
      <c r="E5" s="108" t="str">
        <f t="shared" si="0"/>
        <v/>
      </c>
      <c r="F5" s="108" t="str">
        <f>IF(B5="","",MATCH(B5,'Time Trial'!$E$5:$E$46,0))</f>
        <v/>
      </c>
      <c r="G5" s="98" t="str">
        <f t="shared" ref="G5:G42" si="1">IF(C5=$G$2,E5*(E5-E4),"")</f>
        <v/>
      </c>
      <c r="H5" s="98" t="str">
        <f t="shared" ref="H5:H42" si="2">IF(C5=$H$2,E5*(E5-E4),"")</f>
        <v/>
      </c>
      <c r="I5" s="98" t="str">
        <f t="shared" ref="I5:I42" si="3">IF(C5=$I$2,E5*(E5-E4),"")</f>
        <v/>
      </c>
      <c r="J5" s="98" t="str">
        <f t="shared" ref="J5:J42" si="4">IF(C5=$J$2,E5*(E5-E4),"")</f>
        <v/>
      </c>
      <c r="K5" s="98" t="str">
        <f t="shared" ref="K5:K42" si="5">IF(C5=$Q$3,E5-E4,"")</f>
        <v/>
      </c>
      <c r="L5" s="98" t="str">
        <f t="shared" ref="L5:L42" si="6">IF(C5=$Q$4,E5-E4,"")</f>
        <v/>
      </c>
      <c r="M5" s="98" t="str">
        <f t="shared" ref="M5:M42" si="7">IF(C5=$Q$5,E5-E4,"")</f>
        <v/>
      </c>
      <c r="N5" s="98" t="str">
        <f t="shared" ref="N5:N42" si="8">IF(C5=$Q$6,E5-E4,"")</f>
        <v/>
      </c>
      <c r="P5" s="53"/>
      <c r="Q5" s="61" t="s">
        <v>25</v>
      </c>
      <c r="R5" s="61"/>
      <c r="S5" s="61"/>
      <c r="U5" s="53" t="s">
        <v>26</v>
      </c>
      <c r="V5" s="53">
        <v>2</v>
      </c>
    </row>
    <row r="6" spans="1:22" x14ac:dyDescent="0.25">
      <c r="A6" s="55" t="str">
        <f>IF(B6="","",4)</f>
        <v/>
      </c>
      <c r="B6" s="174" t="str">
        <f>IF(FINAL!L8="L",FINAL!D8,IF(FINAL!L7="L",FINAL!D7,""))</f>
        <v/>
      </c>
      <c r="C6" s="108" t="str">
        <f>IF(F6="","",VLOOKUP(F6,'Time Trial'!$C$5:$K$46,2))</f>
        <v/>
      </c>
      <c r="D6" s="108" t="str">
        <f>IF(F6="","",VLOOKUP(F6,'Time Trial'!$C$5:$K$46,4))</f>
        <v/>
      </c>
      <c r="E6" s="108" t="str">
        <f t="shared" si="0"/>
        <v/>
      </c>
      <c r="F6" s="108" t="str">
        <f>IF(B6="","",MATCH(B6,'Time Trial'!$E$5:$E$46,0))</f>
        <v/>
      </c>
      <c r="G6" s="98" t="str">
        <f t="shared" si="1"/>
        <v/>
      </c>
      <c r="H6" s="98" t="str">
        <f t="shared" si="2"/>
        <v/>
      </c>
      <c r="I6" s="98" t="str">
        <f t="shared" si="3"/>
        <v/>
      </c>
      <c r="J6" s="98" t="str">
        <f t="shared" si="4"/>
        <v/>
      </c>
      <c r="K6" s="98" t="str">
        <f t="shared" si="5"/>
        <v/>
      </c>
      <c r="L6" s="98" t="str">
        <f t="shared" si="6"/>
        <v/>
      </c>
      <c r="M6" s="98" t="str">
        <f t="shared" si="7"/>
        <v/>
      </c>
      <c r="N6" s="98" t="str">
        <f t="shared" si="8"/>
        <v/>
      </c>
      <c r="P6" s="53"/>
      <c r="Q6" s="61" t="s">
        <v>34</v>
      </c>
      <c r="R6" s="61"/>
      <c r="S6" s="61"/>
      <c r="U6" s="53" t="s">
        <v>29</v>
      </c>
      <c r="V6" s="53">
        <v>2</v>
      </c>
    </row>
    <row r="7" spans="1:22" x14ac:dyDescent="0.25">
      <c r="A7" s="55" t="str">
        <f>IF(B7="","",5)</f>
        <v/>
      </c>
      <c r="B7" s="108" t="str">
        <f>IF(FINAL!L11="W",FINAL!D11,IF(FINAL!L12="W",FINAL!D12,""))</f>
        <v/>
      </c>
      <c r="C7" s="108" t="str">
        <f>IF(F7="","",VLOOKUP(F7,'Time Trial'!$C$5:$K$46,2))</f>
        <v/>
      </c>
      <c r="D7" s="108" t="str">
        <f>IF(F7="","",VLOOKUP(F7,'Time Trial'!$C$5:$K$46,4))</f>
        <v/>
      </c>
      <c r="E7" s="108" t="str">
        <f t="shared" si="0"/>
        <v/>
      </c>
      <c r="F7" s="108" t="str">
        <f>IF(B7="","",MATCH(B7,'Time Trial'!$E$5:$E$46,0))</f>
        <v/>
      </c>
      <c r="G7" s="98" t="str">
        <f t="shared" si="1"/>
        <v/>
      </c>
      <c r="H7" s="98" t="str">
        <f t="shared" si="2"/>
        <v/>
      </c>
      <c r="I7" s="98" t="str">
        <f t="shared" si="3"/>
        <v/>
      </c>
      <c r="J7" s="98" t="str">
        <f t="shared" si="4"/>
        <v/>
      </c>
      <c r="K7" s="98" t="str">
        <f t="shared" si="5"/>
        <v/>
      </c>
      <c r="L7" s="98" t="str">
        <f t="shared" si="6"/>
        <v/>
      </c>
      <c r="M7" s="98" t="str">
        <f t="shared" si="7"/>
        <v/>
      </c>
      <c r="N7" s="98" t="str">
        <f t="shared" si="8"/>
        <v/>
      </c>
      <c r="P7" s="53"/>
      <c r="Q7" s="61"/>
      <c r="R7" s="61"/>
      <c r="S7" s="61"/>
      <c r="U7" s="53" t="s">
        <v>33</v>
      </c>
      <c r="V7" s="53">
        <v>4</v>
      </c>
    </row>
    <row r="8" spans="1:22" x14ac:dyDescent="0.25">
      <c r="A8" s="55" t="str">
        <f>IF(B8="","",6)</f>
        <v/>
      </c>
      <c r="B8" s="108" t="str">
        <f>IF(FINAL!L11="L",FINAL!D11,IF(FINAL!L12="L",FINAL!D12,""))</f>
        <v/>
      </c>
      <c r="C8" s="108" t="str">
        <f>IF(F8="","",VLOOKUP(F8,'Time Trial'!$C$5:$K$46,2))</f>
        <v/>
      </c>
      <c r="D8" s="108" t="str">
        <f>IF(F8="","",VLOOKUP(F8,'Time Trial'!$C$5:$K$46,4))</f>
        <v/>
      </c>
      <c r="E8" s="108" t="str">
        <f t="shared" si="0"/>
        <v/>
      </c>
      <c r="F8" s="108" t="str">
        <f>IF(B8="","",MATCH(B8,'Time Trial'!$E$5:$E$46,0))</f>
        <v/>
      </c>
      <c r="G8" s="98" t="str">
        <f t="shared" si="1"/>
        <v/>
      </c>
      <c r="H8" s="98" t="str">
        <f t="shared" si="2"/>
        <v/>
      </c>
      <c r="I8" s="98" t="str">
        <f t="shared" si="3"/>
        <v/>
      </c>
      <c r="J8" s="98" t="str">
        <f t="shared" si="4"/>
        <v/>
      </c>
      <c r="K8" s="98" t="str">
        <f t="shared" si="5"/>
        <v/>
      </c>
      <c r="L8" s="98" t="str">
        <f t="shared" si="6"/>
        <v/>
      </c>
      <c r="M8" s="98" t="str">
        <f t="shared" si="7"/>
        <v/>
      </c>
      <c r="N8" s="98" t="str">
        <f t="shared" si="8"/>
        <v/>
      </c>
      <c r="P8" s="53"/>
      <c r="Q8" s="61"/>
      <c r="R8" s="61"/>
      <c r="S8" s="61"/>
      <c r="U8" s="53" t="s">
        <v>32</v>
      </c>
      <c r="V8" s="53">
        <v>4</v>
      </c>
    </row>
    <row r="9" spans="1:22" x14ac:dyDescent="0.25">
      <c r="A9" s="55" t="str">
        <f>IF(B9="","",7)</f>
        <v/>
      </c>
      <c r="B9" s="174" t="str">
        <f>IF(FINAL!L13="W",FINAL!D13,IF(FINAL!L14="W",FINAL!D14,""))</f>
        <v/>
      </c>
      <c r="C9" s="108" t="str">
        <f>IF(F9="","",VLOOKUP(F9,'Time Trial'!$C$5:$K$46,2))</f>
        <v/>
      </c>
      <c r="D9" s="108" t="str">
        <f>IF(F9="","",VLOOKUP(F9,'Time Trial'!$C$5:$K$46,4))</f>
        <v/>
      </c>
      <c r="E9" s="108" t="str">
        <f t="shared" si="0"/>
        <v/>
      </c>
      <c r="F9" s="108" t="str">
        <f>IF(B9="","",MATCH(B9,'Time Trial'!$E$5:$E$46,0))</f>
        <v/>
      </c>
      <c r="G9" s="98" t="str">
        <f t="shared" si="1"/>
        <v/>
      </c>
      <c r="H9" s="98" t="str">
        <f t="shared" si="2"/>
        <v/>
      </c>
      <c r="I9" s="98" t="str">
        <f t="shared" si="3"/>
        <v/>
      </c>
      <c r="J9" s="98" t="str">
        <f t="shared" si="4"/>
        <v/>
      </c>
      <c r="K9" s="98" t="str">
        <f t="shared" si="5"/>
        <v/>
      </c>
      <c r="L9" s="98" t="str">
        <f t="shared" si="6"/>
        <v/>
      </c>
      <c r="M9" s="98" t="str">
        <f t="shared" si="7"/>
        <v/>
      </c>
      <c r="N9" s="98" t="str">
        <f t="shared" si="8"/>
        <v/>
      </c>
      <c r="P9" s="53"/>
      <c r="Q9" s="61"/>
      <c r="R9" s="61"/>
      <c r="S9" s="61"/>
      <c r="U9" s="53" t="s">
        <v>36</v>
      </c>
      <c r="V9" s="53">
        <v>4</v>
      </c>
    </row>
    <row r="10" spans="1:22" x14ac:dyDescent="0.25">
      <c r="A10" s="55" t="str">
        <f>IF(B10="","",8)</f>
        <v/>
      </c>
      <c r="B10" s="174" t="str">
        <f>IF(FINAL!L14="L",FINAL!D14,IF(FINAL!L13="L",FINAL!D13,""))</f>
        <v/>
      </c>
      <c r="C10" s="108" t="str">
        <f>IF(F10="","",VLOOKUP(F10,'Time Trial'!$C$5:$K$46,2))</f>
        <v/>
      </c>
      <c r="D10" s="108" t="str">
        <f>IF(F10="","",VLOOKUP(F10,'Time Trial'!$C$5:$K$46,4))</f>
        <v/>
      </c>
      <c r="E10" s="108" t="str">
        <f t="shared" si="0"/>
        <v/>
      </c>
      <c r="F10" s="108" t="str">
        <f>IF(B10="","",MATCH(B10,'Time Trial'!$E$5:$E$46,0))</f>
        <v/>
      </c>
      <c r="G10" s="98" t="str">
        <f t="shared" si="1"/>
        <v/>
      </c>
      <c r="H10" s="98" t="str">
        <f t="shared" si="2"/>
        <v/>
      </c>
      <c r="I10" s="98" t="str">
        <f t="shared" si="3"/>
        <v/>
      </c>
      <c r="J10" s="98" t="str">
        <f t="shared" si="4"/>
        <v/>
      </c>
      <c r="K10" s="98" t="str">
        <f t="shared" si="5"/>
        <v/>
      </c>
      <c r="L10" s="98" t="str">
        <f t="shared" si="6"/>
        <v/>
      </c>
      <c r="M10" s="98" t="str">
        <f t="shared" si="7"/>
        <v/>
      </c>
      <c r="N10" s="98" t="str">
        <f t="shared" si="8"/>
        <v/>
      </c>
      <c r="P10" s="53"/>
      <c r="Q10" s="61"/>
      <c r="R10" s="61"/>
      <c r="S10" s="61"/>
      <c r="U10" s="53" t="s">
        <v>37</v>
      </c>
      <c r="V10" s="53">
        <v>8</v>
      </c>
    </row>
    <row r="11" spans="1:22" x14ac:dyDescent="0.25">
      <c r="A11" s="55" t="str">
        <f>IF(B11="","",9)</f>
        <v/>
      </c>
      <c r="B11" s="108" t="str">
        <f>IF(FINAL!L17="W",FINAL!D17,IF(FINAL!L18="W",FINAL!D18,""))</f>
        <v/>
      </c>
      <c r="C11" s="108" t="str">
        <f>IF(F11="","",VLOOKUP(F11,'Time Trial'!$C$5:$K$46,2))</f>
        <v/>
      </c>
      <c r="D11" s="108" t="str">
        <f>IF(F11="","",VLOOKUP(F11,'Time Trial'!$C$5:$K$46,4))</f>
        <v/>
      </c>
      <c r="E11" s="108" t="str">
        <f t="shared" si="0"/>
        <v/>
      </c>
      <c r="F11" s="108" t="str">
        <f>IF(B11="","",MATCH(B11,'Time Trial'!$E$5:$E$46,0))</f>
        <v/>
      </c>
      <c r="G11" s="98" t="str">
        <f t="shared" si="1"/>
        <v/>
      </c>
      <c r="H11" s="98" t="str">
        <f t="shared" si="2"/>
        <v/>
      </c>
      <c r="I11" s="98" t="str">
        <f t="shared" si="3"/>
        <v/>
      </c>
      <c r="J11" s="98" t="str">
        <f t="shared" si="4"/>
        <v/>
      </c>
      <c r="K11" s="98" t="str">
        <f t="shared" si="5"/>
        <v/>
      </c>
      <c r="L11" s="98" t="str">
        <f t="shared" si="6"/>
        <v/>
      </c>
      <c r="M11" s="98" t="str">
        <f t="shared" si="7"/>
        <v/>
      </c>
      <c r="N11" s="98" t="str">
        <f t="shared" si="8"/>
        <v/>
      </c>
      <c r="P11" s="53"/>
      <c r="Q11" s="61"/>
      <c r="R11" s="61"/>
      <c r="S11" s="61"/>
      <c r="U11" s="53" t="s">
        <v>54</v>
      </c>
      <c r="V11" s="53">
        <v>8</v>
      </c>
    </row>
    <row r="12" spans="1:22" x14ac:dyDescent="0.25">
      <c r="A12" s="55" t="str">
        <f>IF(B12="","",10)</f>
        <v/>
      </c>
      <c r="B12" s="108" t="str">
        <f>IF(FINAL!L17="L",FINAL!D17,IF(FINAL!L18="L",FINAL!D18,""))</f>
        <v/>
      </c>
      <c r="C12" s="108" t="str">
        <f>IF(F12="","",VLOOKUP(F12,'Time Trial'!$C$5:$K$46,2))</f>
        <v/>
      </c>
      <c r="D12" s="108" t="str">
        <f>IF(F12="","",VLOOKUP(F12,'Time Trial'!$C$5:$K$46,4))</f>
        <v/>
      </c>
      <c r="E12" s="108" t="str">
        <f t="shared" si="0"/>
        <v/>
      </c>
      <c r="F12" s="108" t="str">
        <f>IF(B12="","",MATCH(B12,'Time Trial'!$E$5:$E$46,0))</f>
        <v/>
      </c>
      <c r="G12" s="98" t="str">
        <f t="shared" si="1"/>
        <v/>
      </c>
      <c r="H12" s="98" t="str">
        <f t="shared" si="2"/>
        <v/>
      </c>
      <c r="I12" s="98" t="str">
        <f t="shared" si="3"/>
        <v/>
      </c>
      <c r="J12" s="98" t="str">
        <f t="shared" si="4"/>
        <v/>
      </c>
      <c r="K12" s="98" t="str">
        <f t="shared" si="5"/>
        <v/>
      </c>
      <c r="L12" s="98" t="str">
        <f t="shared" si="6"/>
        <v/>
      </c>
      <c r="M12" s="98" t="str">
        <f t="shared" si="7"/>
        <v/>
      </c>
      <c r="N12" s="98" t="str">
        <f t="shared" si="8"/>
        <v/>
      </c>
      <c r="P12" s="53"/>
      <c r="Q12" s="61"/>
      <c r="R12" s="61"/>
      <c r="S12" s="61"/>
    </row>
    <row r="13" spans="1:22" x14ac:dyDescent="0.25">
      <c r="A13" s="55" t="str">
        <f>IF(B13="","",11)</f>
        <v/>
      </c>
      <c r="B13" s="174" t="str">
        <f>IF(FINAL!L19="W",FINAL!D19,IF(FINAL!L20="W",FINAL!D20,""))</f>
        <v/>
      </c>
      <c r="C13" s="108" t="str">
        <f>IF(F13="","",VLOOKUP(F13,'Time Trial'!$C$5:$K$46,2))</f>
        <v/>
      </c>
      <c r="D13" s="108" t="str">
        <f>IF(F13="","",VLOOKUP(F13,'Time Trial'!$C$5:$K$46,4))</f>
        <v/>
      </c>
      <c r="E13" s="108" t="str">
        <f t="shared" si="0"/>
        <v/>
      </c>
      <c r="F13" s="108" t="str">
        <f>IF(B13="","",MATCH(B13,'Time Trial'!$E$5:$E$46,0))</f>
        <v/>
      </c>
      <c r="G13" s="98" t="str">
        <f t="shared" si="1"/>
        <v/>
      </c>
      <c r="H13" s="98" t="str">
        <f t="shared" si="2"/>
        <v/>
      </c>
      <c r="I13" s="98" t="str">
        <f t="shared" si="3"/>
        <v/>
      </c>
      <c r="J13" s="98" t="str">
        <f t="shared" si="4"/>
        <v/>
      </c>
      <c r="K13" s="98" t="str">
        <f t="shared" si="5"/>
        <v/>
      </c>
      <c r="L13" s="98" t="str">
        <f t="shared" si="6"/>
        <v/>
      </c>
      <c r="M13" s="98" t="str">
        <f t="shared" si="7"/>
        <v/>
      </c>
      <c r="N13" s="98" t="str">
        <f t="shared" si="8"/>
        <v/>
      </c>
      <c r="P13" s="53"/>
      <c r="Q13" s="61"/>
      <c r="R13" s="61"/>
      <c r="S13" s="61"/>
      <c r="T13" s="79"/>
    </row>
    <row r="14" spans="1:22" x14ac:dyDescent="0.25">
      <c r="A14" s="55" t="str">
        <f>IF(B14="","",12)</f>
        <v/>
      </c>
      <c r="B14" s="174" t="str">
        <f>IF(FINAL!L19="L",FINAL!D19,IF(FINAL!L20="L",FINAL!D20,""))</f>
        <v/>
      </c>
      <c r="C14" s="108" t="str">
        <f>IF(F14="","",VLOOKUP(F14,'Time Trial'!$C$5:$K$46,2))</f>
        <v/>
      </c>
      <c r="D14" s="108" t="str">
        <f>IF(F14="","",VLOOKUP(F14,'Time Trial'!$C$5:$K$46,4))</f>
        <v/>
      </c>
      <c r="E14" s="108" t="str">
        <f t="shared" si="0"/>
        <v/>
      </c>
      <c r="F14" s="108" t="str">
        <f>IF(B14="","",MATCH(B14,'Time Trial'!$E$5:$E$46,0))</f>
        <v/>
      </c>
      <c r="G14" s="98" t="str">
        <f t="shared" si="1"/>
        <v/>
      </c>
      <c r="H14" s="98" t="str">
        <f t="shared" si="2"/>
        <v/>
      </c>
      <c r="I14" s="98" t="str">
        <f t="shared" si="3"/>
        <v/>
      </c>
      <c r="J14" s="98" t="str">
        <f t="shared" si="4"/>
        <v/>
      </c>
      <c r="K14" s="98" t="str">
        <f t="shared" si="5"/>
        <v/>
      </c>
      <c r="L14" s="98" t="str">
        <f t="shared" si="6"/>
        <v/>
      </c>
      <c r="M14" s="98" t="str">
        <f t="shared" si="7"/>
        <v/>
      </c>
      <c r="N14" s="98" t="str">
        <f t="shared" si="8"/>
        <v/>
      </c>
      <c r="P14" s="53"/>
      <c r="Q14" s="61"/>
      <c r="R14" s="61"/>
      <c r="S14" s="61"/>
      <c r="T14" s="79"/>
    </row>
    <row r="15" spans="1:22" x14ac:dyDescent="0.25">
      <c r="A15" s="55" t="str">
        <f>IF(B15="","",13)</f>
        <v/>
      </c>
      <c r="B15" s="108" t="str">
        <f>IF(FINAL!L23="W",FINAL!D23,IF(FINAL!L24="W",FINAL!D24,""))</f>
        <v/>
      </c>
      <c r="C15" s="108" t="str">
        <f>IF(F15="","",VLOOKUP(F15,'Time Trial'!$C$5:$K$46,2))</f>
        <v/>
      </c>
      <c r="D15" s="108" t="str">
        <f>IF(F15="","",VLOOKUP(F15,'Time Trial'!$C$5:$K$46,4))</f>
        <v/>
      </c>
      <c r="E15" s="108" t="str">
        <f t="shared" si="0"/>
        <v/>
      </c>
      <c r="F15" s="108" t="str">
        <f>IF(B15="","",MATCH(B15,'Time Trial'!$E$5:$E$46,0))</f>
        <v/>
      </c>
      <c r="G15" s="98" t="str">
        <f t="shared" si="1"/>
        <v/>
      </c>
      <c r="H15" s="98" t="str">
        <f t="shared" si="2"/>
        <v/>
      </c>
      <c r="I15" s="98" t="str">
        <f t="shared" si="3"/>
        <v/>
      </c>
      <c r="J15" s="98" t="str">
        <f t="shared" si="4"/>
        <v/>
      </c>
      <c r="K15" s="98" t="str">
        <f t="shared" si="5"/>
        <v/>
      </c>
      <c r="L15" s="98" t="str">
        <f t="shared" si="6"/>
        <v/>
      </c>
      <c r="M15" s="98" t="str">
        <f t="shared" si="7"/>
        <v/>
      </c>
      <c r="N15" s="98" t="str">
        <f t="shared" si="8"/>
        <v/>
      </c>
      <c r="P15" s="53"/>
      <c r="Q15" s="61"/>
      <c r="R15" s="61"/>
      <c r="S15" s="61"/>
      <c r="T15" s="79"/>
    </row>
    <row r="16" spans="1:22" x14ac:dyDescent="0.25">
      <c r="A16" s="55" t="str">
        <f>IF(B16="","",14)</f>
        <v/>
      </c>
      <c r="B16" s="108" t="str">
        <f>IF(FINAL!L23="L",FINAL!D23,IF(FINAL!L24="L",FINAL!D24,""))</f>
        <v/>
      </c>
      <c r="C16" s="108" t="str">
        <f>IF(F16="","",VLOOKUP(F16,'Time Trial'!$C$5:$K$46,2))</f>
        <v/>
      </c>
      <c r="D16" s="108" t="str">
        <f>IF(F16="","",VLOOKUP(F16,'Time Trial'!$C$5:$K$46,4))</f>
        <v/>
      </c>
      <c r="E16" s="108" t="str">
        <f t="shared" si="0"/>
        <v/>
      </c>
      <c r="F16" s="108" t="str">
        <f>IF(B16="","",MATCH(B16,'Time Trial'!$E$5:$E$46,0))</f>
        <v/>
      </c>
      <c r="G16" s="98" t="str">
        <f t="shared" si="1"/>
        <v/>
      </c>
      <c r="H16" s="98" t="str">
        <f t="shared" si="2"/>
        <v/>
      </c>
      <c r="I16" s="98" t="str">
        <f t="shared" si="3"/>
        <v/>
      </c>
      <c r="J16" s="98" t="str">
        <f t="shared" si="4"/>
        <v/>
      </c>
      <c r="K16" s="98" t="str">
        <f t="shared" si="5"/>
        <v/>
      </c>
      <c r="L16" s="98" t="str">
        <f t="shared" si="6"/>
        <v/>
      </c>
      <c r="M16" s="98" t="str">
        <f t="shared" si="7"/>
        <v/>
      </c>
      <c r="N16" s="98" t="str">
        <f t="shared" si="8"/>
        <v/>
      </c>
      <c r="P16" s="53"/>
      <c r="Q16" s="61"/>
      <c r="R16" s="61"/>
      <c r="S16" s="61"/>
      <c r="T16" s="79"/>
    </row>
    <row r="17" spans="1:20" x14ac:dyDescent="0.25">
      <c r="A17" s="55" t="str">
        <f>IF(B17="","",15)</f>
        <v/>
      </c>
      <c r="B17" s="174" t="str">
        <f>IF(FINAL!L25="W",FINAL!D25,IF(FINAL!L26="W",FINAL!D26,""))</f>
        <v/>
      </c>
      <c r="C17" s="108" t="str">
        <f>IF(F17="","",VLOOKUP(F17,'Time Trial'!$C$5:$K$46,2))</f>
        <v/>
      </c>
      <c r="D17" s="108" t="str">
        <f>IF(F17="","",VLOOKUP(F17,'Time Trial'!$C$5:$K$46,4))</f>
        <v/>
      </c>
      <c r="E17" s="108" t="str">
        <f t="shared" si="0"/>
        <v/>
      </c>
      <c r="F17" s="108" t="str">
        <f>IF(B17="","",MATCH(B17,'Time Trial'!$E$5:$E$46,0))</f>
        <v/>
      </c>
      <c r="G17" s="98" t="str">
        <f t="shared" si="1"/>
        <v/>
      </c>
      <c r="H17" s="98" t="str">
        <f t="shared" si="2"/>
        <v/>
      </c>
      <c r="I17" s="98" t="str">
        <f t="shared" si="3"/>
        <v/>
      </c>
      <c r="J17" s="98" t="str">
        <f t="shared" si="4"/>
        <v/>
      </c>
      <c r="K17" s="98" t="str">
        <f t="shared" si="5"/>
        <v/>
      </c>
      <c r="L17" s="98" t="str">
        <f t="shared" si="6"/>
        <v/>
      </c>
      <c r="M17" s="98" t="str">
        <f t="shared" si="7"/>
        <v/>
      </c>
      <c r="N17" s="98" t="str">
        <f t="shared" si="8"/>
        <v/>
      </c>
      <c r="P17" s="53"/>
      <c r="Q17" s="61"/>
      <c r="R17" s="61"/>
      <c r="S17" s="61"/>
      <c r="T17" s="79"/>
    </row>
    <row r="18" spans="1:20" x14ac:dyDescent="0.25">
      <c r="A18" s="55" t="str">
        <f>IF(B18="","",16)</f>
        <v/>
      </c>
      <c r="B18" s="174" t="str">
        <f>IF(FINAL!L25="L",FINAL!D25,IF(FINAL!L26="L",FINAL!D26,""))</f>
        <v/>
      </c>
      <c r="C18" s="108" t="str">
        <f>IF(F18="","",VLOOKUP(F18,'Time Trial'!$C$5:$K$46,2))</f>
        <v/>
      </c>
      <c r="D18" s="108" t="str">
        <f>IF(F18="","",VLOOKUP(F18,'Time Trial'!$C$5:$K$46,4))</f>
        <v/>
      </c>
      <c r="E18" s="108" t="str">
        <f t="shared" si="0"/>
        <v/>
      </c>
      <c r="F18" s="108" t="str">
        <f>IF(B18="","",MATCH(B18,'Time Trial'!$E$5:$E$46,0))</f>
        <v/>
      </c>
      <c r="G18" s="98" t="str">
        <f t="shared" si="1"/>
        <v/>
      </c>
      <c r="H18" s="98" t="str">
        <f t="shared" si="2"/>
        <v/>
      </c>
      <c r="I18" s="98" t="str">
        <f t="shared" si="3"/>
        <v/>
      </c>
      <c r="J18" s="98" t="str">
        <f t="shared" si="4"/>
        <v/>
      </c>
      <c r="K18" s="98" t="str">
        <f t="shared" si="5"/>
        <v/>
      </c>
      <c r="L18" s="98" t="str">
        <f t="shared" si="6"/>
        <v/>
      </c>
      <c r="M18" s="98" t="str">
        <f t="shared" si="7"/>
        <v/>
      </c>
      <c r="N18" s="98" t="str">
        <f t="shared" si="8"/>
        <v/>
      </c>
    </row>
    <row r="19" spans="1:20" x14ac:dyDescent="0.25">
      <c r="A19" s="55" t="str">
        <f>IF(B19="","",17)</f>
        <v/>
      </c>
      <c r="B19" s="108" t="str">
        <f>IF(FINAL!L29="W",FINAL!D29,IF(FINAL!L30="W",FINAL!D30,""))</f>
        <v/>
      </c>
      <c r="C19" s="108" t="str">
        <f>IF(F19="","",VLOOKUP(F19,'Time Trial'!$C$5:$K$46,2))</f>
        <v/>
      </c>
      <c r="D19" s="108" t="str">
        <f>IF(F19="","",VLOOKUP(F19,'Time Trial'!$C$5:$K$46,4))</f>
        <v/>
      </c>
      <c r="E19" s="108" t="str">
        <f t="shared" si="0"/>
        <v/>
      </c>
      <c r="F19" s="108" t="str">
        <f>IF(B19="","",MATCH(B19,'Time Trial'!$E$5:$E$46,0))</f>
        <v/>
      </c>
      <c r="G19" s="98" t="str">
        <f t="shared" si="1"/>
        <v/>
      </c>
      <c r="H19" s="98" t="str">
        <f t="shared" si="2"/>
        <v/>
      </c>
      <c r="I19" s="98" t="str">
        <f t="shared" si="3"/>
        <v/>
      </c>
      <c r="J19" s="98" t="str">
        <f t="shared" si="4"/>
        <v/>
      </c>
      <c r="K19" s="98" t="str">
        <f t="shared" si="5"/>
        <v/>
      </c>
      <c r="L19" s="98" t="str">
        <f t="shared" si="6"/>
        <v/>
      </c>
      <c r="M19" s="98" t="str">
        <f t="shared" si="7"/>
        <v/>
      </c>
      <c r="N19" s="98" t="str">
        <f t="shared" si="8"/>
        <v/>
      </c>
      <c r="P19" t="s">
        <v>55</v>
      </c>
    </row>
    <row r="20" spans="1:20" x14ac:dyDescent="0.25">
      <c r="A20" s="55" t="str">
        <f>IF(B20="","",18)</f>
        <v/>
      </c>
      <c r="B20" s="108" t="str">
        <f>IF(FINAL!L29="L",FINAL!D29,IF(FINAL!L30="L",FINAL!D30,""))</f>
        <v/>
      </c>
      <c r="C20" s="108" t="str">
        <f>IF(F20="","",VLOOKUP(F20,'Time Trial'!$C$5:$K$46,2))</f>
        <v/>
      </c>
      <c r="D20" s="108" t="str">
        <f>IF(F20="","",VLOOKUP(F20,'Time Trial'!$C$5:$K$46,4))</f>
        <v/>
      </c>
      <c r="E20" s="108" t="str">
        <f t="shared" si="0"/>
        <v/>
      </c>
      <c r="F20" s="108" t="str">
        <f>IF(B20="","",MATCH(B20,'Time Trial'!$E$5:$E$46,0))</f>
        <v/>
      </c>
      <c r="G20" s="98" t="str">
        <f t="shared" si="1"/>
        <v/>
      </c>
      <c r="H20" s="98" t="str">
        <f t="shared" si="2"/>
        <v/>
      </c>
      <c r="I20" s="98" t="str">
        <f t="shared" si="3"/>
        <v/>
      </c>
      <c r="J20" s="98" t="str">
        <f t="shared" si="4"/>
        <v/>
      </c>
      <c r="K20" s="98" t="str">
        <f t="shared" si="5"/>
        <v/>
      </c>
      <c r="L20" s="98" t="str">
        <f t="shared" si="6"/>
        <v/>
      </c>
      <c r="M20" s="98" t="str">
        <f t="shared" si="7"/>
        <v/>
      </c>
      <c r="N20" s="98" t="str">
        <f t="shared" si="8"/>
        <v/>
      </c>
    </row>
    <row r="21" spans="1:20" x14ac:dyDescent="0.25">
      <c r="A21" s="55" t="str">
        <f>IF(B21="","",19)</f>
        <v/>
      </c>
      <c r="B21" s="174" t="str">
        <f>IF(FINAL!L31="W",FINAL!D31,IF(FINAL!L32="W",FINAL!D32,""))</f>
        <v/>
      </c>
      <c r="C21" s="108" t="str">
        <f>IF(F21="","",VLOOKUP(F21,'Time Trial'!$C$5:$K$46,2))</f>
        <v/>
      </c>
      <c r="D21" s="108" t="str">
        <f>IF(F21="","",VLOOKUP(F21,'Time Trial'!$C$5:$K$46,4))</f>
        <v/>
      </c>
      <c r="E21" s="108" t="str">
        <f t="shared" si="0"/>
        <v/>
      </c>
      <c r="F21" s="108" t="str">
        <f>IF(B21="","",MATCH(B21,'Time Trial'!$E$5:$E$46,0))</f>
        <v/>
      </c>
      <c r="G21" s="98" t="str">
        <f t="shared" si="1"/>
        <v/>
      </c>
      <c r="H21" s="98" t="str">
        <f t="shared" si="2"/>
        <v/>
      </c>
      <c r="I21" s="98" t="str">
        <f t="shared" si="3"/>
        <v/>
      </c>
      <c r="J21" s="98" t="str">
        <f t="shared" si="4"/>
        <v/>
      </c>
      <c r="K21" s="98" t="str">
        <f t="shared" si="5"/>
        <v/>
      </c>
      <c r="L21" s="98" t="str">
        <f t="shared" si="6"/>
        <v/>
      </c>
      <c r="M21" s="98" t="str">
        <f t="shared" si="7"/>
        <v/>
      </c>
      <c r="N21" s="98" t="str">
        <f t="shared" si="8"/>
        <v/>
      </c>
    </row>
    <row r="22" spans="1:20" x14ac:dyDescent="0.25">
      <c r="A22" s="55" t="str">
        <f>IF(B22="","",20)</f>
        <v/>
      </c>
      <c r="B22" s="174" t="str">
        <f>IF(FINAL!L31="L",FINAL!D31,IF(FINAL!L32="L",FINAL!D32,""))</f>
        <v/>
      </c>
      <c r="C22" s="108" t="str">
        <f>IF(F22="","",VLOOKUP(F22,'Time Trial'!$C$5:$K$46,2))</f>
        <v/>
      </c>
      <c r="D22" s="108" t="str">
        <f>IF(F22="","",VLOOKUP(F22,'Time Trial'!$C$5:$K$46,4))</f>
        <v/>
      </c>
      <c r="E22" s="108" t="str">
        <f t="shared" si="0"/>
        <v/>
      </c>
      <c r="F22" s="108" t="str">
        <f>IF(B22="","",MATCH(B22,'Time Trial'!$E$5:$E$46,0))</f>
        <v/>
      </c>
      <c r="G22" s="98" t="str">
        <f t="shared" si="1"/>
        <v/>
      </c>
      <c r="H22" s="98" t="str">
        <f t="shared" si="2"/>
        <v/>
      </c>
      <c r="I22" s="98" t="str">
        <f t="shared" si="3"/>
        <v/>
      </c>
      <c r="J22" s="98" t="str">
        <f t="shared" si="4"/>
        <v/>
      </c>
      <c r="K22" s="98" t="str">
        <f t="shared" si="5"/>
        <v/>
      </c>
      <c r="L22" s="98" t="str">
        <f t="shared" si="6"/>
        <v/>
      </c>
      <c r="M22" s="98" t="str">
        <f t="shared" si="7"/>
        <v/>
      </c>
      <c r="N22" s="98" t="str">
        <f t="shared" si="8"/>
        <v/>
      </c>
    </row>
    <row r="23" spans="1:20" x14ac:dyDescent="0.25">
      <c r="A23" s="55" t="str">
        <f>IF(B23="","",21)</f>
        <v/>
      </c>
      <c r="B23" s="108" t="str">
        <f>IF(FINAL!L35="W",FINAL!D35,IF(FINAL!L36="W",FINAL!D36,""))</f>
        <v/>
      </c>
      <c r="C23" s="108" t="str">
        <f>IF(F23="","",VLOOKUP(F23,'Time Trial'!$C$5:$K$46,2))</f>
        <v/>
      </c>
      <c r="D23" s="108" t="str">
        <f>IF(F23="","",VLOOKUP(F23,'Time Trial'!$C$5:$K$46,4))</f>
        <v/>
      </c>
      <c r="E23" s="108" t="str">
        <f t="shared" si="0"/>
        <v/>
      </c>
      <c r="F23" s="108" t="str">
        <f>IF(B23="","",MATCH(B23,'Time Trial'!$E$5:$E$46,0))</f>
        <v/>
      </c>
      <c r="G23" s="98" t="str">
        <f t="shared" si="1"/>
        <v/>
      </c>
      <c r="H23" s="98" t="str">
        <f t="shared" si="2"/>
        <v/>
      </c>
      <c r="I23" s="98" t="str">
        <f t="shared" si="3"/>
        <v/>
      </c>
      <c r="J23" s="98" t="str">
        <f t="shared" si="4"/>
        <v/>
      </c>
      <c r="K23" s="98" t="str">
        <f t="shared" si="5"/>
        <v/>
      </c>
      <c r="L23" s="98" t="str">
        <f t="shared" si="6"/>
        <v/>
      </c>
      <c r="M23" s="98" t="str">
        <f t="shared" si="7"/>
        <v/>
      </c>
      <c r="N23" s="98" t="str">
        <f t="shared" si="8"/>
        <v/>
      </c>
    </row>
    <row r="24" spans="1:20" x14ac:dyDescent="0.25">
      <c r="A24" s="55" t="str">
        <f>IF(B24="","",22)</f>
        <v/>
      </c>
      <c r="B24" s="108" t="str">
        <f>IF(FINAL!L35="L",FINAL!D35,IF(FINAL!L36="L",FINAL!D36,""))</f>
        <v/>
      </c>
      <c r="C24" s="108" t="str">
        <f>IF(F24="","",VLOOKUP(F24,'Time Trial'!$C$5:$K$46,2))</f>
        <v/>
      </c>
      <c r="D24" s="108" t="str">
        <f>IF(F24="","",VLOOKUP(F24,'Time Trial'!$C$5:$K$46,4))</f>
        <v/>
      </c>
      <c r="E24" s="108" t="str">
        <f t="shared" si="0"/>
        <v/>
      </c>
      <c r="F24" s="108" t="str">
        <f>IF(B24="","",MATCH(B24,'Time Trial'!$E$5:$E$46,0))</f>
        <v/>
      </c>
      <c r="G24" s="98" t="str">
        <f t="shared" si="1"/>
        <v/>
      </c>
      <c r="H24" s="98" t="str">
        <f t="shared" si="2"/>
        <v/>
      </c>
      <c r="I24" s="98" t="str">
        <f t="shared" si="3"/>
        <v/>
      </c>
      <c r="J24" s="98" t="str">
        <f t="shared" si="4"/>
        <v/>
      </c>
      <c r="K24" s="98" t="str">
        <f t="shared" si="5"/>
        <v/>
      </c>
      <c r="L24" s="98" t="str">
        <f t="shared" si="6"/>
        <v/>
      </c>
      <c r="M24" s="98" t="str">
        <f t="shared" si="7"/>
        <v/>
      </c>
      <c r="N24" s="98" t="str">
        <f t="shared" si="8"/>
        <v/>
      </c>
      <c r="P24" s="79"/>
      <c r="Q24" s="79"/>
      <c r="R24" s="79"/>
      <c r="S24" s="79"/>
    </row>
    <row r="25" spans="1:20" x14ac:dyDescent="0.25">
      <c r="A25" s="55" t="str">
        <f>IF(B25="","",23)</f>
        <v/>
      </c>
      <c r="B25" s="174" t="str">
        <f>IF(FINAL!L37="W",FINAL!D37,IF(FINAL!L38="W",FINAL!D38,""))</f>
        <v/>
      </c>
      <c r="C25" s="108" t="str">
        <f>IF(F25="","",VLOOKUP(F25,'Time Trial'!$C$5:$K$46,2))</f>
        <v/>
      </c>
      <c r="D25" s="108" t="str">
        <f>IF(F25="","",VLOOKUP(F25,'Time Trial'!$C$5:$K$46,4))</f>
        <v/>
      </c>
      <c r="E25" s="108" t="str">
        <f t="shared" si="0"/>
        <v/>
      </c>
      <c r="F25" s="108" t="str">
        <f>IF(B25="","",MATCH(B25,'Time Trial'!$E$5:$E$46,0))</f>
        <v/>
      </c>
      <c r="G25" s="98" t="str">
        <f t="shared" si="1"/>
        <v/>
      </c>
      <c r="H25" s="98" t="str">
        <f t="shared" si="2"/>
        <v/>
      </c>
      <c r="I25" s="98" t="str">
        <f t="shared" si="3"/>
        <v/>
      </c>
      <c r="J25" s="98" t="str">
        <f t="shared" si="4"/>
        <v/>
      </c>
      <c r="K25" s="98" t="str">
        <f t="shared" si="5"/>
        <v/>
      </c>
      <c r="L25" s="98" t="str">
        <f t="shared" si="6"/>
        <v/>
      </c>
      <c r="M25" s="98" t="str">
        <f t="shared" si="7"/>
        <v/>
      </c>
      <c r="N25" s="98" t="str">
        <f t="shared" si="8"/>
        <v/>
      </c>
      <c r="P25" s="79"/>
      <c r="Q25" s="79"/>
      <c r="R25" s="79"/>
      <c r="S25" s="79"/>
    </row>
    <row r="26" spans="1:20" x14ac:dyDescent="0.25">
      <c r="A26" s="55" t="str">
        <f>IF(B26="","",24)</f>
        <v/>
      </c>
      <c r="B26" s="174" t="str">
        <f>IF(FINAL!L37="L",FINAL!D37,IF(FINAL!L38="L",FINAL!D38,""))</f>
        <v/>
      </c>
      <c r="C26" s="108" t="str">
        <f>IF(F26="","",VLOOKUP(F26,'Time Trial'!$C$5:$K$46,2))</f>
        <v/>
      </c>
      <c r="D26" s="108" t="str">
        <f>IF(F26="","",VLOOKUP(F26,'Time Trial'!$C$5:$K$46,4))</f>
        <v/>
      </c>
      <c r="E26" s="108" t="str">
        <f t="shared" si="0"/>
        <v/>
      </c>
      <c r="F26" s="108" t="str">
        <f>IF(B26="","",MATCH(B26,'Time Trial'!$E$5:$E$46,0))</f>
        <v/>
      </c>
      <c r="G26" s="98" t="str">
        <f t="shared" si="1"/>
        <v/>
      </c>
      <c r="H26" s="98" t="str">
        <f t="shared" si="2"/>
        <v/>
      </c>
      <c r="I26" s="98" t="str">
        <f t="shared" si="3"/>
        <v/>
      </c>
      <c r="J26" s="98" t="str">
        <f t="shared" si="4"/>
        <v/>
      </c>
      <c r="K26" s="98" t="str">
        <f t="shared" si="5"/>
        <v/>
      </c>
      <c r="L26" s="98" t="str">
        <f t="shared" si="6"/>
        <v/>
      </c>
      <c r="M26" s="98" t="str">
        <f t="shared" si="7"/>
        <v/>
      </c>
      <c r="N26" s="98" t="str">
        <f t="shared" si="8"/>
        <v/>
      </c>
      <c r="P26" s="79"/>
      <c r="Q26" s="79"/>
      <c r="R26" s="79"/>
      <c r="S26" s="79"/>
    </row>
    <row r="27" spans="1:20" x14ac:dyDescent="0.25">
      <c r="A27" s="55" t="str">
        <f>IF(B27="","",25)</f>
        <v/>
      </c>
      <c r="B27" s="174" t="str">
        <f>IF(FINAL!L41="W",FINAL!D41,IF(FINAL!L42="W",FINAL!D42,""))</f>
        <v/>
      </c>
      <c r="C27" s="108" t="str">
        <f>IF(F27="","",VLOOKUP(F27,'Time Trial'!$C$5:$K$46,2))</f>
        <v/>
      </c>
      <c r="D27" s="108" t="str">
        <f>IF(F27="","",VLOOKUP(F27,'Time Trial'!$C$5:$K$46,4))</f>
        <v/>
      </c>
      <c r="E27" s="108" t="str">
        <f t="shared" si="0"/>
        <v/>
      </c>
      <c r="F27" s="108" t="str">
        <f>IF(B27="","",MATCH(B27,'Time Trial'!$E$5:$E$46,0))</f>
        <v/>
      </c>
      <c r="G27" s="98" t="str">
        <f t="shared" si="1"/>
        <v/>
      </c>
      <c r="H27" s="98" t="str">
        <f t="shared" si="2"/>
        <v/>
      </c>
      <c r="I27" s="98" t="str">
        <f t="shared" si="3"/>
        <v/>
      </c>
      <c r="J27" s="98" t="str">
        <f t="shared" si="4"/>
        <v/>
      </c>
      <c r="K27" s="98" t="str">
        <f t="shared" si="5"/>
        <v/>
      </c>
      <c r="L27" s="98" t="str">
        <f t="shared" si="6"/>
        <v/>
      </c>
      <c r="M27" s="98" t="str">
        <f t="shared" si="7"/>
        <v/>
      </c>
      <c r="N27" s="98" t="str">
        <f t="shared" si="8"/>
        <v/>
      </c>
      <c r="P27" s="79"/>
      <c r="Q27" s="79"/>
      <c r="R27" s="79"/>
      <c r="S27" s="79"/>
    </row>
    <row r="28" spans="1:20" x14ac:dyDescent="0.25">
      <c r="A28" s="55" t="str">
        <f>IF(B28="","",26)</f>
        <v/>
      </c>
      <c r="B28" s="174" t="str">
        <f>IF(FINAL!L41="L",FINAL!D41,IF(FINAL!L42="L",FINAL!D42,""))</f>
        <v/>
      </c>
      <c r="C28" s="108" t="str">
        <f>IF(F28="","",VLOOKUP(F28,'Time Trial'!$C$5:$K$46,2))</f>
        <v/>
      </c>
      <c r="D28" s="108" t="str">
        <f>IF(F28="","",VLOOKUP(F28,'Time Trial'!$C$5:$K$46,4))</f>
        <v/>
      </c>
      <c r="E28" s="108" t="str">
        <f t="shared" si="0"/>
        <v/>
      </c>
      <c r="F28" s="108" t="str">
        <f>IF(B28="","",MATCH(B28,'Time Trial'!$E$5:$E$46,0))</f>
        <v/>
      </c>
      <c r="G28" s="98" t="str">
        <f t="shared" si="1"/>
        <v/>
      </c>
      <c r="H28" s="98" t="str">
        <f t="shared" si="2"/>
        <v/>
      </c>
      <c r="I28" s="98" t="str">
        <f t="shared" si="3"/>
        <v/>
      </c>
      <c r="J28" s="98" t="str">
        <f t="shared" si="4"/>
        <v/>
      </c>
      <c r="K28" s="98" t="str">
        <f t="shared" si="5"/>
        <v/>
      </c>
      <c r="L28" s="98" t="str">
        <f t="shared" si="6"/>
        <v/>
      </c>
      <c r="M28" s="98" t="str">
        <f t="shared" si="7"/>
        <v/>
      </c>
      <c r="N28" s="98" t="str">
        <f t="shared" si="8"/>
        <v/>
      </c>
      <c r="P28" s="79"/>
      <c r="Q28" s="79"/>
      <c r="R28" s="79"/>
      <c r="S28" s="79"/>
    </row>
    <row r="29" spans="1:20" x14ac:dyDescent="0.25">
      <c r="A29" s="55" t="str">
        <f>IF(B29="","",27)</f>
        <v/>
      </c>
      <c r="B29" s="174" t="str">
        <f>IF(FINAL!L43="W",FINAL!D43,IF(FINAL!L44="W",FINAL!D44,""))</f>
        <v/>
      </c>
      <c r="C29" s="108" t="str">
        <f>IF(F29="","",VLOOKUP(F29,'Time Trial'!$C$5:$K$46,2))</f>
        <v/>
      </c>
      <c r="D29" s="108" t="str">
        <f>IF(F29="","",VLOOKUP(F29,'Time Trial'!$C$5:$K$46,4))</f>
        <v/>
      </c>
      <c r="E29" s="108" t="str">
        <f t="shared" si="0"/>
        <v/>
      </c>
      <c r="F29" s="108" t="str">
        <f>IF(B29="","",MATCH(B29,'Time Trial'!$E$5:$E$46,0))</f>
        <v/>
      </c>
      <c r="G29" s="98" t="str">
        <f t="shared" si="1"/>
        <v/>
      </c>
      <c r="H29" s="98" t="str">
        <f t="shared" si="2"/>
        <v/>
      </c>
      <c r="I29" s="98" t="str">
        <f t="shared" si="3"/>
        <v/>
      </c>
      <c r="J29" s="98" t="str">
        <f t="shared" si="4"/>
        <v/>
      </c>
      <c r="K29" s="98" t="str">
        <f t="shared" si="5"/>
        <v/>
      </c>
      <c r="L29" s="98" t="str">
        <f t="shared" si="6"/>
        <v/>
      </c>
      <c r="M29" s="98" t="str">
        <f t="shared" si="7"/>
        <v/>
      </c>
      <c r="N29" s="98" t="str">
        <f t="shared" si="8"/>
        <v/>
      </c>
    </row>
    <row r="30" spans="1:20" x14ac:dyDescent="0.25">
      <c r="A30" s="55" t="str">
        <f>IF(B30="","",28)</f>
        <v/>
      </c>
      <c r="B30" s="174" t="str">
        <f>IF(FINAL!L43="L",FINAL!D43,IF(FINAL!L44="L",FINAL!D44,""))</f>
        <v/>
      </c>
      <c r="C30" s="108" t="str">
        <f>IF(F30="","",VLOOKUP(F30,'Time Trial'!$C$5:$K$46,2))</f>
        <v/>
      </c>
      <c r="D30" s="108" t="str">
        <f>IF(F30="","",VLOOKUP(F30,'Time Trial'!$C$5:$K$46,4))</f>
        <v/>
      </c>
      <c r="E30" s="108" t="str">
        <f t="shared" si="0"/>
        <v/>
      </c>
      <c r="F30" s="108" t="str">
        <f>IF(B30="","",MATCH(B30,'Time Trial'!$E$5:$E$46,0))</f>
        <v/>
      </c>
      <c r="G30" s="98" t="str">
        <f t="shared" si="1"/>
        <v/>
      </c>
      <c r="H30" s="98" t="str">
        <f t="shared" si="2"/>
        <v/>
      </c>
      <c r="I30" s="98" t="str">
        <f t="shared" si="3"/>
        <v/>
      </c>
      <c r="J30" s="98" t="str">
        <f t="shared" si="4"/>
        <v/>
      </c>
      <c r="K30" s="98" t="str">
        <f t="shared" si="5"/>
        <v/>
      </c>
      <c r="L30" s="98" t="str">
        <f t="shared" si="6"/>
        <v/>
      </c>
      <c r="M30" s="98" t="str">
        <f t="shared" si="7"/>
        <v/>
      </c>
      <c r="N30" s="98" t="str">
        <f t="shared" si="8"/>
        <v/>
      </c>
    </row>
    <row r="31" spans="1:20" x14ac:dyDescent="0.25">
      <c r="A31" s="55" t="str">
        <f>IF(B31="","",29)</f>
        <v/>
      </c>
      <c r="B31" s="174" t="str">
        <f>IF(FINAL!L47="W",FINAL!D47,IF(FINAL!L48="W",FINAL!D48,""))</f>
        <v/>
      </c>
      <c r="C31" s="108" t="str">
        <f>IF(F31="","",VLOOKUP(F31,'Time Trial'!$C$5:$K$46,2))</f>
        <v/>
      </c>
      <c r="D31" s="108" t="str">
        <f>IF(F31="","",VLOOKUP(F31,'Time Trial'!$C$5:$K$46,4))</f>
        <v/>
      </c>
      <c r="E31" s="108" t="str">
        <f t="shared" si="0"/>
        <v/>
      </c>
      <c r="F31" s="108" t="str">
        <f>IF(B31="","",MATCH(B31,'Time Trial'!$E$5:$E$46,0))</f>
        <v/>
      </c>
      <c r="G31" s="98" t="str">
        <f t="shared" si="1"/>
        <v/>
      </c>
      <c r="H31" s="98" t="str">
        <f t="shared" si="2"/>
        <v/>
      </c>
      <c r="I31" s="98" t="str">
        <f t="shared" si="3"/>
        <v/>
      </c>
      <c r="J31" s="98" t="str">
        <f t="shared" si="4"/>
        <v/>
      </c>
      <c r="K31" s="98" t="str">
        <f t="shared" si="5"/>
        <v/>
      </c>
      <c r="L31" s="98" t="str">
        <f t="shared" si="6"/>
        <v/>
      </c>
      <c r="M31" s="98" t="str">
        <f t="shared" si="7"/>
        <v/>
      </c>
      <c r="N31" s="98" t="str">
        <f t="shared" si="8"/>
        <v/>
      </c>
    </row>
    <row r="32" spans="1:20" x14ac:dyDescent="0.25">
      <c r="A32" s="55" t="str">
        <f>IF(B32="","",30)</f>
        <v/>
      </c>
      <c r="B32" s="174" t="str">
        <f>IF(FINAL!L47="L",FINAL!D47,IF(FINAL!L48="L",FINAL!D48,""))</f>
        <v/>
      </c>
      <c r="C32" s="108" t="str">
        <f>IF(F32="","",VLOOKUP(F32,'Time Trial'!$C$5:$K$46,2))</f>
        <v/>
      </c>
      <c r="D32" s="108" t="str">
        <f>IF(F32="","",VLOOKUP(F32,'Time Trial'!$C$5:$K$46,4))</f>
        <v/>
      </c>
      <c r="E32" s="108" t="str">
        <f t="shared" si="0"/>
        <v/>
      </c>
      <c r="F32" s="108" t="str">
        <f>IF(B32="","",MATCH(B32,'Time Trial'!$E$5:$E$46,0))</f>
        <v/>
      </c>
      <c r="G32" s="98" t="str">
        <f t="shared" si="1"/>
        <v/>
      </c>
      <c r="H32" s="98" t="str">
        <f t="shared" si="2"/>
        <v/>
      </c>
      <c r="I32" s="98" t="str">
        <f t="shared" si="3"/>
        <v/>
      </c>
      <c r="J32" s="98" t="str">
        <f t="shared" si="4"/>
        <v/>
      </c>
      <c r="K32" s="98" t="str">
        <f t="shared" si="5"/>
        <v/>
      </c>
      <c r="L32" s="98" t="str">
        <f t="shared" si="6"/>
        <v/>
      </c>
      <c r="M32" s="98" t="str">
        <f t="shared" si="7"/>
        <v/>
      </c>
      <c r="N32" s="98" t="str">
        <f t="shared" si="8"/>
        <v/>
      </c>
    </row>
    <row r="33" spans="1:14" x14ac:dyDescent="0.25">
      <c r="A33" s="55" t="str">
        <f>IF(B33="","",31)</f>
        <v/>
      </c>
      <c r="B33" s="174" t="str">
        <f>IF(FINAL!L49="W",FINAL!D49,IF(FINAL!L50="W",FINAL!D50,""))</f>
        <v/>
      </c>
      <c r="C33" s="108" t="str">
        <f>IF(F33="","",VLOOKUP(F33,'Time Trial'!$C$5:$K$46,2))</f>
        <v/>
      </c>
      <c r="D33" s="108" t="str">
        <f>IF(F33="","",VLOOKUP(F33,'Time Trial'!$C$5:$K$46,4))</f>
        <v/>
      </c>
      <c r="E33" s="108" t="str">
        <f t="shared" si="0"/>
        <v/>
      </c>
      <c r="F33" s="108" t="str">
        <f>IF(B33="","",MATCH(B33,'Time Trial'!$E$5:$E$46,0))</f>
        <v/>
      </c>
      <c r="G33" s="98" t="str">
        <f t="shared" si="1"/>
        <v/>
      </c>
      <c r="H33" s="98" t="str">
        <f t="shared" si="2"/>
        <v/>
      </c>
      <c r="I33" s="98" t="str">
        <f t="shared" si="3"/>
        <v/>
      </c>
      <c r="J33" s="98" t="str">
        <f t="shared" si="4"/>
        <v/>
      </c>
      <c r="K33" s="98" t="str">
        <f t="shared" si="5"/>
        <v/>
      </c>
      <c r="L33" s="98" t="str">
        <f t="shared" si="6"/>
        <v/>
      </c>
      <c r="M33" s="98" t="str">
        <f t="shared" si="7"/>
        <v/>
      </c>
      <c r="N33" s="98" t="str">
        <f t="shared" si="8"/>
        <v/>
      </c>
    </row>
    <row r="34" spans="1:14" x14ac:dyDescent="0.25">
      <c r="A34" s="55" t="str">
        <f>IF(B34="","",32)</f>
        <v/>
      </c>
      <c r="B34" s="174" t="str">
        <f>IF(FINAL!L49="L",FINAL!D49,IF(FINAL!L50="L",FINAL!D50,""))</f>
        <v/>
      </c>
      <c r="C34" s="108" t="str">
        <f>IF(F34="","",VLOOKUP(F34,'Time Trial'!$C$5:$K$46,2))</f>
        <v/>
      </c>
      <c r="D34" s="108" t="str">
        <f>IF(F34="","",VLOOKUP(F34,'Time Trial'!$C$5:$K$46,4))</f>
        <v/>
      </c>
      <c r="E34" s="108" t="str">
        <f t="shared" si="0"/>
        <v/>
      </c>
      <c r="F34" s="108" t="str">
        <f>IF(B34="","",MATCH(B34,'Time Trial'!$E$5:$E$46,0))</f>
        <v/>
      </c>
      <c r="G34" s="98" t="str">
        <f t="shared" si="1"/>
        <v/>
      </c>
      <c r="H34" s="98" t="str">
        <f t="shared" si="2"/>
        <v/>
      </c>
      <c r="I34" s="98" t="str">
        <f t="shared" si="3"/>
        <v/>
      </c>
      <c r="J34" s="98" t="str">
        <f t="shared" si="4"/>
        <v/>
      </c>
      <c r="K34" s="98" t="str">
        <f t="shared" si="5"/>
        <v/>
      </c>
      <c r="L34" s="98" t="str">
        <f t="shared" si="6"/>
        <v/>
      </c>
      <c r="M34" s="98" t="str">
        <f t="shared" si="7"/>
        <v/>
      </c>
      <c r="N34" s="98" t="str">
        <f t="shared" si="8"/>
        <v/>
      </c>
    </row>
    <row r="35" spans="1:14" x14ac:dyDescent="0.25">
      <c r="A35" s="55" t="str">
        <f>IF(B35="","",33)</f>
        <v/>
      </c>
      <c r="B35" s="174" t="str">
        <f>IF(FINAL!L53="W",FINAL!D53,IF(FINAL!L54="W",FINAL!D54,""))</f>
        <v/>
      </c>
      <c r="C35" s="108" t="str">
        <f>IF(F35="","",VLOOKUP(F35,'Time Trial'!$C$5:$K$46,2))</f>
        <v/>
      </c>
      <c r="D35" s="108" t="str">
        <f>IF(F35="","",VLOOKUP(F35,'Time Trial'!$C$5:$K$46,4))</f>
        <v/>
      </c>
      <c r="E35" s="108" t="str">
        <f t="shared" si="0"/>
        <v/>
      </c>
      <c r="F35" s="108" t="str">
        <f>IF(B35="","",MATCH(B35,'Time Trial'!$E$5:$E$46,0))</f>
        <v/>
      </c>
      <c r="G35" s="98" t="str">
        <f t="shared" si="1"/>
        <v/>
      </c>
      <c r="H35" s="98" t="str">
        <f t="shared" si="2"/>
        <v/>
      </c>
      <c r="I35" s="98" t="str">
        <f t="shared" si="3"/>
        <v/>
      </c>
      <c r="J35" s="98" t="str">
        <f t="shared" si="4"/>
        <v/>
      </c>
      <c r="K35" s="98" t="str">
        <f t="shared" si="5"/>
        <v/>
      </c>
      <c r="L35" s="98" t="str">
        <f t="shared" si="6"/>
        <v/>
      </c>
      <c r="M35" s="98" t="str">
        <f t="shared" si="7"/>
        <v/>
      </c>
      <c r="N35" s="98" t="str">
        <f t="shared" si="8"/>
        <v/>
      </c>
    </row>
    <row r="36" spans="1:14" x14ac:dyDescent="0.25">
      <c r="A36" s="55" t="str">
        <f>IF(B36="","",34)</f>
        <v/>
      </c>
      <c r="B36" s="174" t="str">
        <f>IF(FINAL!L53="L",FINAL!D53,IF(FINAL!L54="L",FINAL!D54,""))</f>
        <v/>
      </c>
      <c r="C36" s="108" t="str">
        <f>IF(F36="","",VLOOKUP(F36,'Time Trial'!$C$5:$K$46,2))</f>
        <v/>
      </c>
      <c r="D36" s="108" t="str">
        <f>IF(F36="","",VLOOKUP(F36,'Time Trial'!$C$5:$K$46,4))</f>
        <v/>
      </c>
      <c r="E36" s="108" t="str">
        <f t="shared" si="0"/>
        <v/>
      </c>
      <c r="F36" s="108" t="str">
        <f>IF(B36="","",MATCH(B36,'Time Trial'!$E$5:$E$46,0))</f>
        <v/>
      </c>
      <c r="G36" s="98" t="str">
        <f t="shared" si="1"/>
        <v/>
      </c>
      <c r="H36" s="98" t="str">
        <f t="shared" si="2"/>
        <v/>
      </c>
      <c r="I36" s="98" t="str">
        <f t="shared" si="3"/>
        <v/>
      </c>
      <c r="J36" s="98" t="str">
        <f t="shared" si="4"/>
        <v/>
      </c>
      <c r="K36" s="98" t="str">
        <f t="shared" si="5"/>
        <v/>
      </c>
      <c r="L36" s="98" t="str">
        <f t="shared" si="6"/>
        <v/>
      </c>
      <c r="M36" s="98" t="str">
        <f t="shared" si="7"/>
        <v/>
      </c>
      <c r="N36" s="98" t="str">
        <f t="shared" si="8"/>
        <v/>
      </c>
    </row>
    <row r="37" spans="1:14" x14ac:dyDescent="0.25">
      <c r="A37" s="55" t="str">
        <f>IF(B37="","",35)</f>
        <v/>
      </c>
      <c r="B37" s="174" t="str">
        <f>IF(FINAL!L55="W",FINAL!D55,IF(FINAL!L56="W",FINAL!D56,""))</f>
        <v/>
      </c>
      <c r="C37" s="108" t="str">
        <f>IF(F37="","",VLOOKUP(F37,'Time Trial'!$C$5:$K$46,2))</f>
        <v/>
      </c>
      <c r="D37" s="108" t="str">
        <f>IF(F37="","",VLOOKUP(F37,'Time Trial'!$C$5:$K$46,4))</f>
        <v/>
      </c>
      <c r="E37" s="108" t="str">
        <f t="shared" si="0"/>
        <v/>
      </c>
      <c r="F37" s="108" t="str">
        <f>IF(B37="","",MATCH(B37,'Time Trial'!$E$5:$E$46,0))</f>
        <v/>
      </c>
      <c r="G37" s="98" t="str">
        <f t="shared" si="1"/>
        <v/>
      </c>
      <c r="H37" s="98" t="str">
        <f t="shared" si="2"/>
        <v/>
      </c>
      <c r="I37" s="98" t="str">
        <f t="shared" si="3"/>
        <v/>
      </c>
      <c r="J37" s="98" t="str">
        <f t="shared" si="4"/>
        <v/>
      </c>
      <c r="K37" s="98" t="str">
        <f t="shared" si="5"/>
        <v/>
      </c>
      <c r="L37" s="98" t="str">
        <f t="shared" si="6"/>
        <v/>
      </c>
      <c r="M37" s="98" t="str">
        <f t="shared" si="7"/>
        <v/>
      </c>
      <c r="N37" s="98" t="str">
        <f t="shared" si="8"/>
        <v/>
      </c>
    </row>
    <row r="38" spans="1:14" x14ac:dyDescent="0.25">
      <c r="A38" s="55" t="str">
        <f>IF(B38="","",36)</f>
        <v/>
      </c>
      <c r="B38" s="174" t="str">
        <f>IF(FINAL!L55="L",FINAL!D55,IF(FINAL!L56="L",FINAL!D56,""))</f>
        <v/>
      </c>
      <c r="C38" s="108" t="str">
        <f>IF(F38="","",VLOOKUP(F38,'Time Trial'!$C$5:$K$46,2))</f>
        <v/>
      </c>
      <c r="D38" s="108" t="str">
        <f>IF(F38="","",VLOOKUP(F38,'Time Trial'!$C$5:$K$46,4))</f>
        <v/>
      </c>
      <c r="E38" s="108" t="str">
        <f t="shared" si="0"/>
        <v/>
      </c>
      <c r="F38" s="108" t="str">
        <f>IF(B38="","",MATCH(B38,'Time Trial'!$E$5:$E$46,0))</f>
        <v/>
      </c>
      <c r="G38" s="98" t="str">
        <f t="shared" si="1"/>
        <v/>
      </c>
      <c r="H38" s="98" t="str">
        <f t="shared" si="2"/>
        <v/>
      </c>
      <c r="I38" s="98" t="str">
        <f t="shared" si="3"/>
        <v/>
      </c>
      <c r="J38" s="98" t="str">
        <f t="shared" si="4"/>
        <v/>
      </c>
      <c r="K38" s="98" t="str">
        <f t="shared" si="5"/>
        <v/>
      </c>
      <c r="L38" s="98" t="str">
        <f t="shared" si="6"/>
        <v/>
      </c>
      <c r="M38" s="98" t="str">
        <f t="shared" si="7"/>
        <v/>
      </c>
      <c r="N38" s="98" t="str">
        <f t="shared" si="8"/>
        <v/>
      </c>
    </row>
    <row r="39" spans="1:14" x14ac:dyDescent="0.25">
      <c r="A39" s="55" t="str">
        <f>IF(B39="","",37)</f>
        <v/>
      </c>
      <c r="B39" s="174" t="str">
        <f>IF(FINAL!L59="W",FINAL!D59,IF(FINAL!L60="W",FINAL!D60,""))</f>
        <v/>
      </c>
      <c r="C39" s="108" t="str">
        <f>IF(F39="","",VLOOKUP(F39,'Time Trial'!$C$5:$K$46,2))</f>
        <v/>
      </c>
      <c r="D39" s="108" t="str">
        <f>IF(F39="","",VLOOKUP(F39,'Time Trial'!$C$5:$K$46,4))</f>
        <v/>
      </c>
      <c r="E39" s="108" t="str">
        <f t="shared" si="0"/>
        <v/>
      </c>
      <c r="F39" s="108" t="str">
        <f>IF(B39="","",MATCH(B39,'Time Trial'!$E$5:$E$46,0))</f>
        <v/>
      </c>
      <c r="G39" s="98" t="str">
        <f t="shared" si="1"/>
        <v/>
      </c>
      <c r="H39" s="98" t="str">
        <f t="shared" si="2"/>
        <v/>
      </c>
      <c r="I39" s="98" t="str">
        <f t="shared" si="3"/>
        <v/>
      </c>
      <c r="J39" s="98" t="str">
        <f t="shared" si="4"/>
        <v/>
      </c>
      <c r="K39" s="98" t="str">
        <f t="shared" si="5"/>
        <v/>
      </c>
      <c r="L39" s="98" t="str">
        <f t="shared" si="6"/>
        <v/>
      </c>
      <c r="M39" s="98" t="str">
        <f t="shared" si="7"/>
        <v/>
      </c>
      <c r="N39" s="98" t="str">
        <f t="shared" si="8"/>
        <v/>
      </c>
    </row>
    <row r="40" spans="1:14" x14ac:dyDescent="0.25">
      <c r="A40" s="55" t="str">
        <f>IF(B40="","",38)</f>
        <v/>
      </c>
      <c r="B40" s="174" t="str">
        <f>IF(FINAL!L59="L",FINAL!D59,IF(FINAL!L60="L",FINAL!D60,""))</f>
        <v/>
      </c>
      <c r="C40" s="108" t="str">
        <f>IF(F40="","",VLOOKUP(F40,'Time Trial'!$C$5:$K$46,2))</f>
        <v/>
      </c>
      <c r="D40" s="108" t="str">
        <f>IF(F40="","",VLOOKUP(F40,'Time Trial'!$C$5:$K$46,4))</f>
        <v/>
      </c>
      <c r="E40" s="108" t="str">
        <f t="shared" si="0"/>
        <v/>
      </c>
      <c r="F40" s="108" t="str">
        <f>IF(B40="","",MATCH(B40,'Time Trial'!$E$5:$E$46,0))</f>
        <v/>
      </c>
      <c r="G40" s="98" t="str">
        <f t="shared" si="1"/>
        <v/>
      </c>
      <c r="H40" s="98" t="str">
        <f t="shared" si="2"/>
        <v/>
      </c>
      <c r="I40" s="98" t="str">
        <f t="shared" si="3"/>
        <v/>
      </c>
      <c r="J40" s="98" t="str">
        <f t="shared" si="4"/>
        <v/>
      </c>
      <c r="K40" s="98" t="str">
        <f t="shared" si="5"/>
        <v/>
      </c>
      <c r="L40" s="98" t="str">
        <f t="shared" si="6"/>
        <v/>
      </c>
      <c r="M40" s="98" t="str">
        <f t="shared" si="7"/>
        <v/>
      </c>
      <c r="N40" s="98" t="str">
        <f t="shared" si="8"/>
        <v/>
      </c>
    </row>
    <row r="41" spans="1:14" x14ac:dyDescent="0.25">
      <c r="A41" s="55" t="str">
        <f>IF(B41="","",39)</f>
        <v/>
      </c>
      <c r="B41" s="174" t="str">
        <f>IF(FINAL!L61="W",FINAL!D61,IF(FINAL!L62="W",FINAL!D62,""))</f>
        <v/>
      </c>
      <c r="C41" s="108" t="str">
        <f>IF(F41="","",VLOOKUP(F41,'Time Trial'!$C$5:$K$46,2))</f>
        <v/>
      </c>
      <c r="D41" s="108" t="str">
        <f>IF(F41="","",VLOOKUP(F41,'Time Trial'!$C$5:$K$46,4))</f>
        <v/>
      </c>
      <c r="E41" s="108" t="str">
        <f t="shared" si="0"/>
        <v/>
      </c>
      <c r="F41" s="108" t="str">
        <f>IF(B41="","",MATCH(B41,'Time Trial'!$E$5:$E$46,0))</f>
        <v/>
      </c>
      <c r="G41" s="98" t="str">
        <f t="shared" si="1"/>
        <v/>
      </c>
      <c r="H41" s="98" t="str">
        <f t="shared" si="2"/>
        <v/>
      </c>
      <c r="I41" s="98" t="str">
        <f t="shared" si="3"/>
        <v/>
      </c>
      <c r="J41" s="98" t="str">
        <f t="shared" si="4"/>
        <v/>
      </c>
      <c r="K41" s="98" t="str">
        <f t="shared" si="5"/>
        <v/>
      </c>
      <c r="L41" s="98" t="str">
        <f t="shared" si="6"/>
        <v/>
      </c>
      <c r="M41" s="98" t="str">
        <f t="shared" si="7"/>
        <v/>
      </c>
      <c r="N41" s="98" t="str">
        <f t="shared" si="8"/>
        <v/>
      </c>
    </row>
    <row r="42" spans="1:14" x14ac:dyDescent="0.25">
      <c r="A42" s="55" t="str">
        <f>IF(B42="","",40)</f>
        <v/>
      </c>
      <c r="B42" s="174" t="str">
        <f>IF(FINAL!L61="L",FINAL!D61,IF(FINAL!L62="L",FINAL!D62,""))</f>
        <v/>
      </c>
      <c r="C42" s="108" t="str">
        <f>IF(F42="","",VLOOKUP(F42,'Time Trial'!$C$5:$K$46,2))</f>
        <v/>
      </c>
      <c r="D42" s="108" t="str">
        <f>IF(F42="","",VLOOKUP(F42,'Time Trial'!$C$5:$K$46,4))</f>
        <v/>
      </c>
      <c r="E42" s="108" t="str">
        <f t="shared" si="0"/>
        <v/>
      </c>
      <c r="F42" s="108" t="str">
        <f>IF(B42="","",MATCH(B42,'Time Trial'!$E$5:$E$46,0))</f>
        <v/>
      </c>
      <c r="G42" s="98" t="str">
        <f t="shared" si="1"/>
        <v/>
      </c>
      <c r="H42" s="98" t="str">
        <f t="shared" si="2"/>
        <v/>
      </c>
      <c r="I42" s="98" t="str">
        <f t="shared" si="3"/>
        <v/>
      </c>
      <c r="J42" s="98" t="str">
        <f t="shared" si="4"/>
        <v/>
      </c>
      <c r="K42" s="98" t="str">
        <f t="shared" si="5"/>
        <v/>
      </c>
      <c r="L42" s="98" t="str">
        <f t="shared" si="6"/>
        <v/>
      </c>
      <c r="M42" s="98" t="str">
        <f t="shared" si="7"/>
        <v/>
      </c>
      <c r="N42" s="98" t="str">
        <f t="shared" si="8"/>
        <v/>
      </c>
    </row>
  </sheetData>
  <phoneticPr fontId="7" type="noConversion"/>
  <pageMargins left="0.7" right="0.7" top="0.75" bottom="0.75" header="0.3" footer="0.3"/>
  <pageSetup paperSize="9" scale="77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57"/>
  <sheetViews>
    <sheetView topLeftCell="A33" workbookViewId="0">
      <selection activeCell="J54" sqref="J54"/>
    </sheetView>
  </sheetViews>
  <sheetFormatPr defaultColWidth="8.85546875" defaultRowHeight="15" x14ac:dyDescent="0.25"/>
  <cols>
    <col min="3" max="5" width="13.42578125" customWidth="1"/>
    <col min="6" max="6" width="12.7109375" customWidth="1"/>
    <col min="9" max="9" width="12.28515625" customWidth="1"/>
    <col min="11" max="11" width="12.42578125" bestFit="1" customWidth="1"/>
    <col min="12" max="12" width="13.7109375" bestFit="1" customWidth="1"/>
  </cols>
  <sheetData>
    <row r="2" spans="2:15" s="3" customFormat="1" ht="30" x14ac:dyDescent="0.25">
      <c r="B2" s="1" t="s">
        <v>44</v>
      </c>
      <c r="C2" s="1" t="s">
        <v>56</v>
      </c>
      <c r="D2" s="3" t="s">
        <v>57</v>
      </c>
      <c r="E2" s="3" t="s">
        <v>58</v>
      </c>
      <c r="F2" s="1" t="s">
        <v>59</v>
      </c>
      <c r="G2" s="3" t="s">
        <v>60</v>
      </c>
      <c r="H2" s="3" t="s">
        <v>61</v>
      </c>
      <c r="L2" s="3" t="s">
        <v>19</v>
      </c>
      <c r="M2" s="3" t="s">
        <v>20</v>
      </c>
      <c r="N2" s="3" t="s">
        <v>19</v>
      </c>
      <c r="O2" s="3" t="s">
        <v>20</v>
      </c>
    </row>
    <row r="3" spans="2:15" x14ac:dyDescent="0.25">
      <c r="B3" s="4" t="s">
        <v>22</v>
      </c>
      <c r="C3" s="30">
        <v>4.5526620370370365E-3</v>
      </c>
      <c r="D3" s="31">
        <v>4.7625000000000002E-3</v>
      </c>
      <c r="E3" s="32">
        <v>4.9503472222222223E-3</v>
      </c>
      <c r="F3" s="33">
        <v>5.2725694444444443E-3</v>
      </c>
      <c r="G3" s="6">
        <v>5.2635416666666664E-3</v>
      </c>
      <c r="H3" s="6">
        <v>5.8516203703703707E-3</v>
      </c>
      <c r="I3" s="4" t="s">
        <v>22</v>
      </c>
      <c r="J3" s="2">
        <f>AVERAGE(C3:F3)</f>
        <v>4.8845196759259258E-3</v>
      </c>
      <c r="K3" s="27">
        <v>422</v>
      </c>
      <c r="L3" s="27">
        <f>K3*$D$16</f>
        <v>399.5308555704998</v>
      </c>
      <c r="M3" s="52">
        <f>K3*$F$16</f>
        <v>444.46914442950026</v>
      </c>
      <c r="N3" s="63">
        <f>L3/$L$10</f>
        <v>1.2126436781609196</v>
      </c>
      <c r="O3" s="63">
        <f>M3/$L$10</f>
        <v>1.3490389806324214</v>
      </c>
    </row>
    <row r="4" spans="2:15" x14ac:dyDescent="0.25">
      <c r="B4" s="4" t="s">
        <v>26</v>
      </c>
      <c r="C4" s="34">
        <v>4.3318287037037041E-3</v>
      </c>
      <c r="D4" s="35">
        <v>4.6697916666666667E-3</v>
      </c>
      <c r="E4" s="36">
        <v>4.7893518518518519E-3</v>
      </c>
      <c r="F4" s="37">
        <v>5.1591435185185186E-3</v>
      </c>
      <c r="G4" s="5"/>
      <c r="H4" s="5"/>
      <c r="I4" s="4" t="s">
        <v>26</v>
      </c>
      <c r="J4" s="2">
        <f t="shared" ref="J4:J10" si="0">AVERAGE(C4:F4)</f>
        <v>4.7375289351851858E-3</v>
      </c>
      <c r="K4" s="28">
        <v>409.3</v>
      </c>
      <c r="L4" s="27">
        <f t="shared" ref="L4:L10" si="1">K4*$D$16</f>
        <v>387.507059680108</v>
      </c>
      <c r="M4" s="52">
        <f t="shared" ref="M4:M11" si="2">K4*$F$16</f>
        <v>431.09294031989208</v>
      </c>
      <c r="N4" s="63">
        <f t="shared" ref="N4:O11" si="3">L4/$L$10</f>
        <v>1.1761494252873566</v>
      </c>
      <c r="O4" s="63">
        <f t="shared" si="3"/>
        <v>1.308439940220024</v>
      </c>
    </row>
    <row r="5" spans="2:15" x14ac:dyDescent="0.25">
      <c r="B5" s="4" t="s">
        <v>29</v>
      </c>
      <c r="C5" s="34">
        <v>4.2042824074074074E-3</v>
      </c>
      <c r="D5" s="35">
        <v>4.4774305555555557E-3</v>
      </c>
      <c r="E5" s="36">
        <v>4.6155092592592593E-3</v>
      </c>
      <c r="F5" s="37">
        <v>4.9045138888888888E-3</v>
      </c>
      <c r="G5" s="6">
        <v>4.9556712962962966E-3</v>
      </c>
      <c r="H5" s="6">
        <v>5.461111111111111E-3</v>
      </c>
      <c r="I5" s="4" t="s">
        <v>29</v>
      </c>
      <c r="J5" s="2">
        <f t="shared" si="0"/>
        <v>4.5504340277777782E-3</v>
      </c>
      <c r="K5" s="28">
        <v>393.2</v>
      </c>
      <c r="L5" s="27">
        <f t="shared" si="1"/>
        <v>372.26429481118606</v>
      </c>
      <c r="M5" s="52">
        <f t="shared" si="2"/>
        <v>414.13570518881397</v>
      </c>
      <c r="N5" s="63">
        <f t="shared" si="3"/>
        <v>1.1298850574712644</v>
      </c>
      <c r="O5" s="63">
        <f t="shared" si="3"/>
        <v>1.2569718653665121</v>
      </c>
    </row>
    <row r="6" spans="2:15" x14ac:dyDescent="0.25">
      <c r="B6" s="4" t="s">
        <v>32</v>
      </c>
      <c r="C6" s="34">
        <v>4.1546296296296296E-3</v>
      </c>
      <c r="D6" s="35">
        <v>4.3509259259259256E-3</v>
      </c>
      <c r="E6" s="38">
        <f>E27</f>
        <v>4.5675713219772525E-3</v>
      </c>
      <c r="F6" s="37">
        <v>4.9081018518518519E-3</v>
      </c>
      <c r="G6" s="5"/>
      <c r="H6" s="5"/>
      <c r="I6" s="4" t="s">
        <v>32</v>
      </c>
      <c r="J6" s="2">
        <f t="shared" si="0"/>
        <v>4.4953071823461647E-3</v>
      </c>
      <c r="K6" s="28">
        <v>388.4</v>
      </c>
      <c r="L6" s="27">
        <f t="shared" si="1"/>
        <v>367.71986801796709</v>
      </c>
      <c r="M6" s="52">
        <f t="shared" si="2"/>
        <v>409.08013198203292</v>
      </c>
      <c r="N6" s="63">
        <f t="shared" si="3"/>
        <v>1.1160919540229886</v>
      </c>
      <c r="O6" s="63">
        <f t="shared" si="3"/>
        <v>1.2416273461555272</v>
      </c>
    </row>
    <row r="7" spans="2:15" x14ac:dyDescent="0.25">
      <c r="B7" s="4" t="s">
        <v>35</v>
      </c>
      <c r="C7" s="39">
        <v>4.108796296296297E-3</v>
      </c>
      <c r="D7" s="40">
        <v>4.340277777777778E-3</v>
      </c>
      <c r="E7" s="41">
        <v>4.4907407407407405E-3</v>
      </c>
      <c r="F7" s="42">
        <v>4.7800925925925919E-3</v>
      </c>
      <c r="G7" s="6">
        <v>4.7795138888888896E-3</v>
      </c>
      <c r="H7" s="6">
        <v>5.3358796296296288E-3</v>
      </c>
      <c r="I7" s="4" t="s">
        <v>35</v>
      </c>
      <c r="J7" s="2">
        <f t="shared" si="0"/>
        <v>4.4299768518518516E-3</v>
      </c>
      <c r="K7" s="28">
        <v>382.9</v>
      </c>
      <c r="L7" s="27">
        <f t="shared" si="1"/>
        <v>362.51271231740367</v>
      </c>
      <c r="M7" s="52">
        <f t="shared" si="2"/>
        <v>403.28728768259629</v>
      </c>
      <c r="N7" s="63">
        <f t="shared" si="3"/>
        <v>1.1002873563218389</v>
      </c>
      <c r="O7" s="63">
        <f t="shared" si="3"/>
        <v>1.2240450845596069</v>
      </c>
    </row>
    <row r="8" spans="2:15" x14ac:dyDescent="0.25">
      <c r="B8" s="4" t="s">
        <v>33</v>
      </c>
      <c r="C8" s="34">
        <v>3.9508101851851848E-3</v>
      </c>
      <c r="D8" s="35">
        <v>4.211342592592592E-3</v>
      </c>
      <c r="E8" s="36">
        <v>4.4600694444444445E-3</v>
      </c>
      <c r="F8" s="37">
        <v>4.7223379629629629E-3</v>
      </c>
      <c r="G8" s="5"/>
      <c r="H8" s="5"/>
      <c r="I8" s="4" t="s">
        <v>33</v>
      </c>
      <c r="J8" s="2">
        <f t="shared" si="0"/>
        <v>4.3361400462962963E-3</v>
      </c>
      <c r="K8" s="28">
        <v>374.6</v>
      </c>
      <c r="L8" s="27">
        <f t="shared" si="1"/>
        <v>354.65464098746264</v>
      </c>
      <c r="M8" s="52">
        <f t="shared" si="2"/>
        <v>394.54535901253746</v>
      </c>
      <c r="N8" s="63">
        <f t="shared" si="3"/>
        <v>1.0764367816091955</v>
      </c>
      <c r="O8" s="63">
        <f t="shared" si="3"/>
        <v>1.1975118534239457</v>
      </c>
    </row>
    <row r="9" spans="2:15" x14ac:dyDescent="0.25">
      <c r="B9" s="4" t="s">
        <v>36</v>
      </c>
      <c r="C9" s="34">
        <v>3.891203703703704E-3</v>
      </c>
      <c r="D9" s="35">
        <v>4.1495370370370375E-3</v>
      </c>
      <c r="E9" s="36">
        <v>4.2916666666666667E-3</v>
      </c>
      <c r="F9" s="37">
        <v>4.6662037037037037E-3</v>
      </c>
      <c r="I9" s="4" t="s">
        <v>36</v>
      </c>
      <c r="J9" s="2">
        <f t="shared" si="0"/>
        <v>4.2496527777777775E-3</v>
      </c>
      <c r="K9" s="28">
        <v>367</v>
      </c>
      <c r="L9" s="27">
        <f t="shared" si="1"/>
        <v>347.45929856486595</v>
      </c>
      <c r="M9" s="52">
        <f t="shared" si="2"/>
        <v>386.54070143513411</v>
      </c>
      <c r="N9" s="63">
        <f t="shared" si="3"/>
        <v>1.0545977011494254</v>
      </c>
      <c r="O9" s="63">
        <f t="shared" si="3"/>
        <v>1.1732163646732197</v>
      </c>
    </row>
    <row r="10" spans="2:15" x14ac:dyDescent="0.25">
      <c r="B10" s="4" t="s">
        <v>37</v>
      </c>
      <c r="C10" s="34">
        <v>3.7019675925925931E-3</v>
      </c>
      <c r="D10" s="35">
        <v>3.9100694444444443E-3</v>
      </c>
      <c r="E10" s="36">
        <v>4.1145833333333329E-3</v>
      </c>
      <c r="F10" s="37">
        <v>4.3988425925925922E-3</v>
      </c>
      <c r="I10" s="4" t="s">
        <v>37</v>
      </c>
      <c r="J10" s="2">
        <f t="shared" si="0"/>
        <v>4.0313657407407407E-3</v>
      </c>
      <c r="K10" s="28">
        <v>348</v>
      </c>
      <c r="L10" s="27">
        <f t="shared" si="1"/>
        <v>329.47094250837421</v>
      </c>
      <c r="M10" s="52">
        <f t="shared" si="2"/>
        <v>366.52905749162579</v>
      </c>
      <c r="N10" s="63">
        <f t="shared" si="3"/>
        <v>1</v>
      </c>
      <c r="O10" s="63">
        <f t="shared" si="3"/>
        <v>1.1124776427964043</v>
      </c>
    </row>
    <row r="11" spans="2:15" x14ac:dyDescent="0.25">
      <c r="B11" s="4" t="s">
        <v>62</v>
      </c>
      <c r="C11" s="43">
        <v>3.8958333333333332E-3</v>
      </c>
      <c r="D11" s="44">
        <v>3.9641203703703705E-3</v>
      </c>
      <c r="E11" s="45">
        <v>4.4953703703703709E-3</v>
      </c>
      <c r="F11" s="46">
        <v>4.5474537037037037E-3</v>
      </c>
      <c r="I11" s="4" t="s">
        <v>62</v>
      </c>
      <c r="J11" s="2">
        <f>AVERAGE(C11:F11)</f>
        <v>4.2256944444444442E-3</v>
      </c>
      <c r="K11" s="28">
        <v>365.1</v>
      </c>
      <c r="L11" s="27">
        <f>K11*$D$16</f>
        <v>345.66046295921677</v>
      </c>
      <c r="M11" s="52">
        <f t="shared" si="2"/>
        <v>384.53953704078333</v>
      </c>
      <c r="N11" s="63">
        <f t="shared" si="3"/>
        <v>1.0491379310344828</v>
      </c>
      <c r="O11" s="63">
        <f t="shared" si="3"/>
        <v>1.1671424924855383</v>
      </c>
    </row>
    <row r="13" spans="2:15" x14ac:dyDescent="0.25">
      <c r="C13" s="2">
        <f>AVERAGE(C3:C4,C5,C8:C10)</f>
        <v>4.1054591049382722E-3</v>
      </c>
      <c r="D13" s="2">
        <f>AVERAGE(D3:D4,D5,D8:D10)</f>
        <v>4.3634452160493829E-3</v>
      </c>
      <c r="E13" s="2">
        <f>AVERAGE(E3:E4,E5,E8:E10)</f>
        <v>4.5369212962962958E-3</v>
      </c>
      <c r="F13" s="2">
        <f>AVERAGE(F3:F4,F5,F8:F10)</f>
        <v>4.8539351851851851E-3</v>
      </c>
      <c r="L13" t="s">
        <v>63</v>
      </c>
    </row>
    <row r="14" spans="2:15" x14ac:dyDescent="0.25">
      <c r="C14" s="2"/>
      <c r="D14" s="2"/>
      <c r="E14" s="2"/>
      <c r="F14" s="2"/>
    </row>
    <row r="15" spans="2:15" x14ac:dyDescent="0.25">
      <c r="C15" s="29" t="s">
        <v>64</v>
      </c>
      <c r="D15" s="51">
        <f>AVERAGE(C3:D11)</f>
        <v>4.2015560699588481E-3</v>
      </c>
      <c r="E15" s="29" t="s">
        <v>65</v>
      </c>
      <c r="F15" s="49">
        <f>AVERAGE(E3:F11)</f>
        <v>4.674137192784744E-3</v>
      </c>
      <c r="J15" s="175" t="s">
        <v>66</v>
      </c>
      <c r="L15" s="80">
        <f>'Time Trial'!E1</f>
        <v>4400</v>
      </c>
    </row>
    <row r="16" spans="2:15" x14ac:dyDescent="0.25">
      <c r="D16" s="48">
        <f>D15/F17</f>
        <v>0.9467555819206156</v>
      </c>
      <c r="F16" s="48">
        <f>F15/F17</f>
        <v>1.0532444180793845</v>
      </c>
      <c r="J16" s="176" t="s">
        <v>67</v>
      </c>
      <c r="L16" t="s">
        <v>68</v>
      </c>
      <c r="M16" t="s">
        <v>69</v>
      </c>
    </row>
    <row r="17" spans="2:13" x14ac:dyDescent="0.25">
      <c r="E17" s="47" t="s">
        <v>70</v>
      </c>
      <c r="F17" s="50">
        <f>AVERAGE(C3:F11)</f>
        <v>4.4378466313717956E-3</v>
      </c>
      <c r="K17" s="4" t="s">
        <v>22</v>
      </c>
      <c r="L17" s="66">
        <f>((1.7834*($L$15/500+1)*($L$15/500+1))+(($L$15/500+1)*73.664)-77.109)/((1.7834*(2000/500+1)*(2000/500+1))+((2000/500+1)*73.664)-77.109)*L3</f>
        <v>970.96903155658924</v>
      </c>
      <c r="M17" s="66">
        <f>((1.7834*($L$15/500+1)*($L$15/500+1))+(($L$15/500+1)*73.664)-77.109)/((1.7834*(2000/500+1)*(2000/500+1))+((2000/500+1)*73.664)-77.109)*M3</f>
        <v>1080.1813394543819</v>
      </c>
    </row>
    <row r="18" spans="2:13" x14ac:dyDescent="0.25">
      <c r="K18" s="4" t="s">
        <v>26</v>
      </c>
      <c r="L18" s="66">
        <f t="shared" ref="L18:M25" si="4">((1.7834*($L$15/500+1)*($L$15/500+1))+(($L$15/500+1)*73.664)-77.109)/((1.7834*(2000/500+1)*(2000/500+1))+((2000/500+1)*73.664)-77.109)*L4</f>
        <v>941.74792563059714</v>
      </c>
      <c r="M18" s="66">
        <f t="shared" si="4"/>
        <v>1047.6735124139302</v>
      </c>
    </row>
    <row r="19" spans="2:13" x14ac:dyDescent="0.25">
      <c r="B19" s="7" t="s">
        <v>71</v>
      </c>
      <c r="C19" s="20"/>
      <c r="D19" s="20"/>
      <c r="E19" s="20"/>
      <c r="F19" s="20"/>
      <c r="G19" s="20"/>
      <c r="H19" s="21"/>
      <c r="K19" s="4" t="s">
        <v>29</v>
      </c>
      <c r="L19" s="66">
        <f t="shared" si="4"/>
        <v>904.70384646457558</v>
      </c>
      <c r="M19" s="66">
        <f t="shared" si="4"/>
        <v>1006.4628025437511</v>
      </c>
    </row>
    <row r="20" spans="2:13" x14ac:dyDescent="0.25">
      <c r="B20" s="8" t="s">
        <v>72</v>
      </c>
      <c r="C20" s="19">
        <f t="shared" ref="C20:H20" si="5">AVERAGE(C3,C5)</f>
        <v>4.378472222222222E-3</v>
      </c>
      <c r="D20" s="19">
        <f t="shared" si="5"/>
        <v>4.6199652777777784E-3</v>
      </c>
      <c r="E20" s="19">
        <f t="shared" si="5"/>
        <v>4.7829282407407404E-3</v>
      </c>
      <c r="F20" s="19">
        <f t="shared" si="5"/>
        <v>5.0885416666666666E-3</v>
      </c>
      <c r="G20" s="19">
        <f t="shared" si="5"/>
        <v>5.1096064814814815E-3</v>
      </c>
      <c r="H20" s="22">
        <f t="shared" si="5"/>
        <v>5.6563657407407413E-3</v>
      </c>
      <c r="K20" s="4" t="s">
        <v>32</v>
      </c>
      <c r="L20" s="66">
        <f t="shared" si="4"/>
        <v>893.65964894923991</v>
      </c>
      <c r="M20" s="66">
        <f t="shared" si="4"/>
        <v>994.17637972531259</v>
      </c>
    </row>
    <row r="21" spans="2:13" x14ac:dyDescent="0.25">
      <c r="B21" s="8"/>
      <c r="C21" s="9">
        <f>6*60+18.3</f>
        <v>378.3</v>
      </c>
      <c r="D21" s="9">
        <f>6*60+39.2</f>
        <v>399.2</v>
      </c>
      <c r="E21" s="9">
        <f>6*60+53.2</f>
        <v>413.2</v>
      </c>
      <c r="F21" s="9">
        <f>7*60+19.7</f>
        <v>439.7</v>
      </c>
      <c r="G21" s="10">
        <f>7*60+21.5</f>
        <v>441.5</v>
      </c>
      <c r="H21" s="11">
        <f>8*60+8.7</f>
        <v>488.7</v>
      </c>
      <c r="K21" s="4" t="s">
        <v>35</v>
      </c>
      <c r="L21" s="66">
        <f t="shared" si="4"/>
        <v>881.00483929625113</v>
      </c>
      <c r="M21" s="66">
        <f t="shared" si="4"/>
        <v>980.09818691251849</v>
      </c>
    </row>
    <row r="22" spans="2:13" x14ac:dyDescent="0.25">
      <c r="B22" s="8" t="s">
        <v>35</v>
      </c>
      <c r="C22" s="12">
        <f>AVERAGE($G$23:$H$23)*C21</f>
        <v>355.36865476878239</v>
      </c>
      <c r="D22" s="12">
        <f>AVERAGE($G$23:$H$23)*D21</f>
        <v>375.00176310784542</v>
      </c>
      <c r="E22" s="12">
        <f>AVERAGE($G$23:$H$23)*E21</f>
        <v>388.15312754549535</v>
      </c>
      <c r="F22" s="12">
        <f>AVERAGE($G$23:$H$23)*F21</f>
        <v>413.04678165961832</v>
      </c>
      <c r="G22" s="13">
        <f>6*60+53</f>
        <v>413</v>
      </c>
      <c r="H22" s="14">
        <f>7*60+41</f>
        <v>461</v>
      </c>
      <c r="K22" s="4" t="s">
        <v>33</v>
      </c>
      <c r="L22" s="66">
        <f t="shared" si="4"/>
        <v>861.90758109265016</v>
      </c>
      <c r="M22" s="66">
        <f t="shared" si="4"/>
        <v>958.85291412230208</v>
      </c>
    </row>
    <row r="23" spans="2:13" x14ac:dyDescent="0.25">
      <c r="B23" s="15"/>
      <c r="C23" s="16"/>
      <c r="D23" s="16"/>
      <c r="E23" s="16"/>
      <c r="F23" s="16"/>
      <c r="G23" s="17">
        <f>G22/G21</f>
        <v>0.9354473386183465</v>
      </c>
      <c r="H23" s="18">
        <f>H22/H21</f>
        <v>0.94331900961735216</v>
      </c>
      <c r="K23" s="4" t="s">
        <v>36</v>
      </c>
      <c r="L23" s="66">
        <f t="shared" si="4"/>
        <v>844.42093502670207</v>
      </c>
      <c r="M23" s="66">
        <f t="shared" si="4"/>
        <v>939.39941132644117</v>
      </c>
    </row>
    <row r="24" spans="2:13" x14ac:dyDescent="0.25">
      <c r="K24" s="4" t="s">
        <v>37</v>
      </c>
      <c r="L24" s="66">
        <f t="shared" si="4"/>
        <v>800.70431986183189</v>
      </c>
      <c r="M24" s="66">
        <f t="shared" si="4"/>
        <v>890.76565433678888</v>
      </c>
    </row>
    <row r="25" spans="2:13" x14ac:dyDescent="0.25">
      <c r="B25" s="7" t="s">
        <v>73</v>
      </c>
      <c r="C25" s="20"/>
      <c r="D25" s="20"/>
      <c r="E25" s="20"/>
      <c r="F25" s="20"/>
      <c r="G25" s="20"/>
      <c r="H25" s="21"/>
      <c r="K25" s="4" t="s">
        <v>62</v>
      </c>
      <c r="L25" s="66">
        <f t="shared" si="4"/>
        <v>840.04927351021502</v>
      </c>
      <c r="M25" s="66">
        <f t="shared" si="4"/>
        <v>934.53603562747605</v>
      </c>
    </row>
    <row r="26" spans="2:13" x14ac:dyDescent="0.25">
      <c r="B26" s="8" t="s">
        <v>74</v>
      </c>
      <c r="C26" s="19">
        <f>AVERAGE(C3:C5,C8:C10)</f>
        <v>4.1054591049382722E-3</v>
      </c>
      <c r="D26" s="19">
        <f>AVERAGE(D3:D5,D8:D10)</f>
        <v>4.3634452160493829E-3</v>
      </c>
      <c r="E26" s="19">
        <f>AVERAGE(E3:E5,E8:E10)</f>
        <v>4.5369212962962958E-3</v>
      </c>
      <c r="F26" s="19">
        <f>AVERAGE(F3:F5,F8:F10)</f>
        <v>4.8539351851851851E-3</v>
      </c>
      <c r="G26" s="19"/>
      <c r="H26" s="23"/>
      <c r="L26" s="66"/>
    </row>
    <row r="27" spans="2:13" x14ac:dyDescent="0.25">
      <c r="B27" s="8" t="s">
        <v>32</v>
      </c>
      <c r="C27" s="19">
        <f>C6</f>
        <v>4.1546296296296296E-3</v>
      </c>
      <c r="D27" s="19">
        <f>D6</f>
        <v>4.3509259259259256E-3</v>
      </c>
      <c r="E27" s="19">
        <f>E26*G28</f>
        <v>4.5675713219772525E-3</v>
      </c>
      <c r="F27" s="19">
        <f>F6</f>
        <v>4.9081018518518519E-3</v>
      </c>
      <c r="G27" s="9"/>
      <c r="H27" s="23"/>
      <c r="L27" s="66"/>
    </row>
    <row r="28" spans="2:13" x14ac:dyDescent="0.25">
      <c r="B28" s="15"/>
      <c r="C28" s="16">
        <f>C27/C26</f>
        <v>1.0119768638377649</v>
      </c>
      <c r="D28" s="16">
        <f>D27/D26</f>
        <v>0.9971308703321381</v>
      </c>
      <c r="E28" s="16"/>
      <c r="F28" s="16">
        <f>F27/F26</f>
        <v>1.0111593304401736</v>
      </c>
      <c r="G28" s="16">
        <f>AVERAGE(C28:F28)</f>
        <v>1.0067556882033588</v>
      </c>
      <c r="H28" s="24"/>
      <c r="K28" t="s">
        <v>75</v>
      </c>
    </row>
    <row r="29" spans="2:13" x14ac:dyDescent="0.25">
      <c r="K29" s="53"/>
      <c r="L29" s="26" t="s">
        <v>19</v>
      </c>
      <c r="M29" s="26" t="s">
        <v>20</v>
      </c>
    </row>
    <row r="30" spans="2:13" x14ac:dyDescent="0.25">
      <c r="K30" s="26" t="s">
        <v>76</v>
      </c>
      <c r="L30" s="88">
        <v>0.82299999999999995</v>
      </c>
      <c r="M30" s="88">
        <v>0.74</v>
      </c>
    </row>
    <row r="31" spans="2:13" s="25" customFormat="1" x14ac:dyDescent="0.25">
      <c r="K31" s="26">
        <v>10</v>
      </c>
      <c r="L31" s="89">
        <v>0.77900000000000003</v>
      </c>
      <c r="M31" s="89">
        <v>0.69</v>
      </c>
    </row>
    <row r="32" spans="2:13" s="25" customFormat="1" x14ac:dyDescent="0.25">
      <c r="K32" s="26">
        <v>11</v>
      </c>
      <c r="L32" s="89">
        <v>0.79100000000000004</v>
      </c>
      <c r="M32" s="89">
        <v>0.70299999999999996</v>
      </c>
    </row>
    <row r="33" spans="10:16" s="25" customFormat="1" x14ac:dyDescent="0.25">
      <c r="K33" s="26">
        <v>12</v>
      </c>
      <c r="L33" s="89">
        <v>0.79700000000000004</v>
      </c>
      <c r="M33" s="89">
        <v>0.71199999999999997</v>
      </c>
    </row>
    <row r="34" spans="10:16" s="25" customFormat="1" x14ac:dyDescent="0.25">
      <c r="K34" s="87">
        <v>13</v>
      </c>
      <c r="L34" s="89">
        <v>0.8</v>
      </c>
      <c r="M34" s="89">
        <v>0.72199999999999998</v>
      </c>
      <c r="O34" s="25">
        <f>100/L30</f>
        <v>121.50668286755773</v>
      </c>
    </row>
    <row r="35" spans="10:16" s="25" customFormat="1" x14ac:dyDescent="0.25">
      <c r="K35" s="26">
        <v>7</v>
      </c>
      <c r="L35" s="89">
        <v>0.65900000000000003</v>
      </c>
      <c r="M35" s="89">
        <v>0.63100000000000001</v>
      </c>
      <c r="O35" s="25">
        <f>100/M30</f>
        <v>135.13513513513513</v>
      </c>
    </row>
    <row r="36" spans="10:16" s="25" customFormat="1" x14ac:dyDescent="0.25">
      <c r="K36" s="26">
        <v>8</v>
      </c>
      <c r="L36" s="89">
        <v>0.71199999999999997</v>
      </c>
      <c r="M36" s="89">
        <v>0.65700000000000003</v>
      </c>
    </row>
    <row r="37" spans="10:16" s="25" customFormat="1" x14ac:dyDescent="0.25">
      <c r="K37" s="26">
        <v>9</v>
      </c>
      <c r="L37" s="89">
        <v>0.755</v>
      </c>
      <c r="M37" s="89">
        <v>0.68</v>
      </c>
    </row>
    <row r="38" spans="10:16" s="25" customFormat="1" x14ac:dyDescent="0.25">
      <c r="K38"/>
      <c r="L38"/>
      <c r="M38"/>
    </row>
    <row r="39" spans="10:16" x14ac:dyDescent="0.25">
      <c r="J39" s="25"/>
      <c r="K39" t="s">
        <v>77</v>
      </c>
      <c r="N39" s="25"/>
      <c r="O39" s="25"/>
      <c r="P39" s="25"/>
    </row>
    <row r="40" spans="10:16" x14ac:dyDescent="0.25">
      <c r="K40" s="53"/>
      <c r="L40" s="26" t="s">
        <v>19</v>
      </c>
      <c r="M40" s="26" t="s">
        <v>20</v>
      </c>
      <c r="N40" s="26" t="s">
        <v>8</v>
      </c>
    </row>
    <row r="41" spans="10:16" x14ac:dyDescent="0.25">
      <c r="K41" s="26">
        <v>7</v>
      </c>
      <c r="L41" s="88">
        <f>L35*$O$34/100</f>
        <v>0.80072904009720547</v>
      </c>
      <c r="M41" s="88">
        <f>M35*$O$35/100</f>
        <v>0.85270270270270276</v>
      </c>
      <c r="N41" s="91">
        <f t="shared" ref="N41:N47" si="6">AVERAGE(L41:M41)</f>
        <v>0.82671587139995406</v>
      </c>
      <c r="O41" s="91">
        <f>1/N41</f>
        <v>1.2096054213966014</v>
      </c>
    </row>
    <row r="42" spans="10:16" x14ac:dyDescent="0.25">
      <c r="K42" s="26">
        <v>8</v>
      </c>
      <c r="L42" s="88">
        <f>L36*$O$34/100</f>
        <v>0.86512758201701101</v>
      </c>
      <c r="M42" s="88">
        <f>M36*$O$35/100</f>
        <v>0.88783783783783787</v>
      </c>
      <c r="N42" s="91">
        <f t="shared" si="6"/>
        <v>0.87648270992742439</v>
      </c>
      <c r="O42" s="91">
        <f t="shared" ref="O42:O57" si="7">1/N42</f>
        <v>1.1409238182037877</v>
      </c>
    </row>
    <row r="43" spans="10:16" x14ac:dyDescent="0.25">
      <c r="K43" s="26">
        <v>9</v>
      </c>
      <c r="L43" s="88">
        <f>L37*$O$34/100</f>
        <v>0.91737545565006084</v>
      </c>
      <c r="M43" s="88">
        <f>M37*$O$35/100</f>
        <v>0.91891891891891897</v>
      </c>
      <c r="N43" s="91">
        <f t="shared" si="6"/>
        <v>0.91814718728448996</v>
      </c>
      <c r="O43" s="91">
        <f t="shared" si="7"/>
        <v>1.0891499901639929</v>
      </c>
    </row>
    <row r="44" spans="10:16" x14ac:dyDescent="0.25">
      <c r="K44" s="26">
        <v>10</v>
      </c>
      <c r="L44" s="88">
        <f>L31*$O$34/100</f>
        <v>0.94653705953827472</v>
      </c>
      <c r="M44" s="88">
        <f>M31*$O$35/100</f>
        <v>0.93243243243243223</v>
      </c>
      <c r="N44" s="91">
        <f t="shared" si="6"/>
        <v>0.93948474598535348</v>
      </c>
      <c r="O44" s="91">
        <f t="shared" si="7"/>
        <v>1.0644132374402488</v>
      </c>
    </row>
    <row r="45" spans="10:16" x14ac:dyDescent="0.25">
      <c r="K45" s="26">
        <v>11</v>
      </c>
      <c r="L45" s="88">
        <f>L32*$O$34/100</f>
        <v>0.96111786148238165</v>
      </c>
      <c r="M45" s="88">
        <f>M32*$O$35/100</f>
        <v>0.94999999999999984</v>
      </c>
      <c r="N45" s="91">
        <f t="shared" si="6"/>
        <v>0.95555893074119069</v>
      </c>
      <c r="O45" s="91">
        <f t="shared" si="7"/>
        <v>1.0465079314619958</v>
      </c>
    </row>
    <row r="46" spans="10:16" x14ac:dyDescent="0.25">
      <c r="K46" s="81">
        <v>12</v>
      </c>
      <c r="L46" s="88">
        <f>L33*$O$34/100</f>
        <v>0.96840826245443512</v>
      </c>
      <c r="M46" s="88">
        <f>M33*$O$35/100</f>
        <v>0.9621621621621621</v>
      </c>
      <c r="N46" s="91">
        <f>AVERAGE(L46:M46)</f>
        <v>0.96528521230829867</v>
      </c>
      <c r="O46" s="91">
        <f>1/N46</f>
        <v>1.0359632440744506</v>
      </c>
    </row>
    <row r="47" spans="10:16" x14ac:dyDescent="0.25">
      <c r="K47" s="93">
        <v>13</v>
      </c>
      <c r="L47" s="90">
        <f>L34*$O$34/100</f>
        <v>0.97205346294046191</v>
      </c>
      <c r="M47" s="88">
        <f>M34*$O$35/100</f>
        <v>0.9756756756756757</v>
      </c>
      <c r="N47" s="177">
        <f t="shared" si="6"/>
        <v>0.97386456930806875</v>
      </c>
      <c r="O47" s="91">
        <f t="shared" si="7"/>
        <v>1.0268368226092264</v>
      </c>
    </row>
    <row r="48" spans="10:16" x14ac:dyDescent="0.25">
      <c r="J48" s="61">
        <v>27</v>
      </c>
      <c r="K48" s="26" t="s">
        <v>78</v>
      </c>
      <c r="L48" s="53"/>
      <c r="M48" s="53"/>
      <c r="N48" s="92">
        <v>1</v>
      </c>
      <c r="O48" s="91">
        <f t="shared" si="7"/>
        <v>1</v>
      </c>
    </row>
    <row r="49" spans="10:15" x14ac:dyDescent="0.25">
      <c r="J49" s="61">
        <v>36</v>
      </c>
      <c r="K49" s="26" t="s">
        <v>79</v>
      </c>
      <c r="L49" s="53"/>
      <c r="M49" s="53"/>
      <c r="N49" s="91">
        <v>0.98933333333333329</v>
      </c>
      <c r="O49" s="91">
        <f t="shared" si="7"/>
        <v>1.0107816711590296</v>
      </c>
    </row>
    <row r="50" spans="10:15" x14ac:dyDescent="0.25">
      <c r="J50" s="61">
        <v>43</v>
      </c>
      <c r="K50" s="26" t="s">
        <v>80</v>
      </c>
      <c r="L50" s="53"/>
      <c r="M50" s="53"/>
      <c r="N50" s="91">
        <v>0.97599999999999998</v>
      </c>
      <c r="O50" s="91">
        <f t="shared" si="7"/>
        <v>1.0245901639344261</v>
      </c>
    </row>
    <row r="51" spans="10:15" x14ac:dyDescent="0.25">
      <c r="J51" s="61">
        <v>50</v>
      </c>
      <c r="K51" s="26" t="s">
        <v>81</v>
      </c>
      <c r="L51" s="53"/>
      <c r="M51" s="53"/>
      <c r="N51" s="91">
        <v>0.95766666666666667</v>
      </c>
      <c r="O51" s="91">
        <f t="shared" si="7"/>
        <v>1.0442046641141665</v>
      </c>
    </row>
    <row r="52" spans="10:15" x14ac:dyDescent="0.25">
      <c r="J52" s="61">
        <v>55</v>
      </c>
      <c r="K52" s="26" t="s">
        <v>82</v>
      </c>
      <c r="L52" s="53"/>
      <c r="M52" s="53"/>
      <c r="N52" s="91">
        <v>0.94033333333333335</v>
      </c>
      <c r="O52" s="91">
        <f t="shared" si="7"/>
        <v>1.0634526763559022</v>
      </c>
    </row>
    <row r="53" spans="10:15" x14ac:dyDescent="0.25">
      <c r="J53" s="61">
        <v>60</v>
      </c>
      <c r="K53" s="26" t="s">
        <v>27</v>
      </c>
      <c r="L53" s="53"/>
      <c r="M53" s="53"/>
      <c r="N53" s="91">
        <v>0.92100000000000004</v>
      </c>
      <c r="O53" s="91">
        <f t="shared" si="7"/>
        <v>1.0857763300760044</v>
      </c>
    </row>
    <row r="54" spans="10:15" x14ac:dyDescent="0.25">
      <c r="J54" s="61">
        <v>65</v>
      </c>
      <c r="K54" s="26" t="s">
        <v>83</v>
      </c>
      <c r="L54" s="53"/>
      <c r="M54" s="53"/>
      <c r="N54" s="91">
        <v>0.90033333333333332</v>
      </c>
      <c r="O54" s="91">
        <f t="shared" si="7"/>
        <v>1.1106997408367272</v>
      </c>
    </row>
    <row r="55" spans="10:15" x14ac:dyDescent="0.25">
      <c r="J55" s="61">
        <v>70</v>
      </c>
      <c r="K55" s="26" t="s">
        <v>84</v>
      </c>
      <c r="L55" s="53"/>
      <c r="M55" s="53"/>
      <c r="N55" s="91">
        <v>0.8743333333333333</v>
      </c>
      <c r="O55" s="91">
        <f t="shared" si="7"/>
        <v>1.1437285550895921</v>
      </c>
    </row>
    <row r="56" spans="10:15" x14ac:dyDescent="0.25">
      <c r="J56" s="61">
        <v>75</v>
      </c>
      <c r="K56" s="26" t="s">
        <v>85</v>
      </c>
      <c r="L56" s="53"/>
      <c r="M56" s="53"/>
      <c r="N56" s="91">
        <v>0.84699999999999998</v>
      </c>
      <c r="O56" s="91">
        <f t="shared" si="7"/>
        <v>1.1806375442739079</v>
      </c>
    </row>
    <row r="57" spans="10:15" x14ac:dyDescent="0.25">
      <c r="K57" s="26" t="s">
        <v>86</v>
      </c>
      <c r="L57" s="53"/>
      <c r="M57" s="53"/>
      <c r="N57" s="91">
        <v>1</v>
      </c>
      <c r="O57" s="91">
        <f t="shared" si="7"/>
        <v>1</v>
      </c>
    </row>
  </sheetData>
  <phoneticPr fontId="7" type="noConversion"/>
  <pageMargins left="0.7" right="0.7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47"/>
  <sheetViews>
    <sheetView workbookViewId="0">
      <selection activeCell="E4" sqref="E4"/>
    </sheetView>
  </sheetViews>
  <sheetFormatPr defaultRowHeight="15" x14ac:dyDescent="0.25"/>
  <cols>
    <col min="1" max="1" width="23.7109375" style="79" customWidth="1"/>
    <col min="2" max="2" width="26" customWidth="1"/>
    <col min="3" max="3" width="24" customWidth="1"/>
    <col min="4" max="256" width="11.42578125" customWidth="1"/>
  </cols>
  <sheetData>
    <row r="2" spans="1:3" ht="41.1" customHeight="1" x14ac:dyDescent="0.45">
      <c r="A2" s="112" t="s">
        <v>87</v>
      </c>
    </row>
    <row r="4" spans="1:3" s="109" customFormat="1" ht="54.95" customHeight="1" x14ac:dyDescent="0.45">
      <c r="A4" s="113" t="s">
        <v>6</v>
      </c>
      <c r="B4" s="113" t="s">
        <v>10</v>
      </c>
      <c r="C4" s="113" t="s">
        <v>11</v>
      </c>
    </row>
    <row r="5" spans="1:3" s="109" customFormat="1" ht="28.5" x14ac:dyDescent="0.45">
      <c r="A5" s="111"/>
      <c r="B5" s="110"/>
      <c r="C5" s="110"/>
    </row>
    <row r="6" spans="1:3" s="109" customFormat="1" ht="28.5" x14ac:dyDescent="0.45">
      <c r="A6" s="111"/>
      <c r="B6" s="110"/>
      <c r="C6" s="110"/>
    </row>
    <row r="7" spans="1:3" s="109" customFormat="1" ht="28.5" x14ac:dyDescent="0.45">
      <c r="A7" s="111"/>
      <c r="B7" s="110"/>
      <c r="C7" s="110"/>
    </row>
    <row r="8" spans="1:3" s="109" customFormat="1" ht="28.5" x14ac:dyDescent="0.45">
      <c r="A8" s="111"/>
      <c r="B8" s="110"/>
      <c r="C8" s="110"/>
    </row>
    <row r="9" spans="1:3" s="109" customFormat="1" ht="28.5" x14ac:dyDescent="0.45">
      <c r="A9" s="111"/>
      <c r="B9" s="110"/>
      <c r="C9" s="110"/>
    </row>
    <row r="10" spans="1:3" s="109" customFormat="1" ht="28.5" x14ac:dyDescent="0.45">
      <c r="A10" s="111"/>
      <c r="B10" s="110"/>
      <c r="C10" s="110"/>
    </row>
    <row r="11" spans="1:3" s="109" customFormat="1" ht="28.5" x14ac:dyDescent="0.45">
      <c r="A11" s="111"/>
      <c r="B11" s="110"/>
      <c r="C11" s="110"/>
    </row>
    <row r="12" spans="1:3" s="109" customFormat="1" ht="28.5" x14ac:dyDescent="0.45">
      <c r="A12" s="111"/>
      <c r="B12" s="110"/>
      <c r="C12" s="110"/>
    </row>
    <row r="13" spans="1:3" s="109" customFormat="1" ht="28.5" x14ac:dyDescent="0.45">
      <c r="A13" s="111"/>
      <c r="B13" s="110"/>
      <c r="C13" s="110"/>
    </row>
    <row r="14" spans="1:3" s="109" customFormat="1" ht="28.5" x14ac:dyDescent="0.45">
      <c r="A14" s="111"/>
      <c r="B14" s="110"/>
      <c r="C14" s="110"/>
    </row>
    <row r="15" spans="1:3" s="109" customFormat="1" ht="28.5" x14ac:dyDescent="0.45">
      <c r="A15" s="111"/>
      <c r="B15" s="110"/>
      <c r="C15" s="110"/>
    </row>
    <row r="16" spans="1:3" s="109" customFormat="1" ht="28.5" x14ac:dyDescent="0.45">
      <c r="A16" s="111"/>
      <c r="B16" s="110"/>
      <c r="C16" s="110"/>
    </row>
    <row r="17" spans="1:3" s="109" customFormat="1" ht="28.5" x14ac:dyDescent="0.45">
      <c r="A17" s="111"/>
      <c r="B17" s="110"/>
      <c r="C17" s="110"/>
    </row>
    <row r="18" spans="1:3" s="109" customFormat="1" ht="28.5" x14ac:dyDescent="0.45">
      <c r="A18" s="111"/>
      <c r="B18" s="110"/>
      <c r="C18" s="110"/>
    </row>
    <row r="19" spans="1:3" s="109" customFormat="1" ht="28.5" x14ac:dyDescent="0.45">
      <c r="A19" s="111"/>
      <c r="B19" s="110"/>
      <c r="C19" s="110"/>
    </row>
    <row r="20" spans="1:3" s="109" customFormat="1" ht="28.5" x14ac:dyDescent="0.45">
      <c r="A20" s="111"/>
      <c r="B20" s="110"/>
      <c r="C20" s="110"/>
    </row>
    <row r="21" spans="1:3" s="109" customFormat="1" ht="28.5" x14ac:dyDescent="0.45">
      <c r="A21" s="111"/>
      <c r="B21" s="110"/>
      <c r="C21" s="110"/>
    </row>
    <row r="22" spans="1:3" s="109" customFormat="1" ht="28.5" x14ac:dyDescent="0.45">
      <c r="A22" s="111"/>
      <c r="B22" s="110"/>
      <c r="C22" s="110"/>
    </row>
    <row r="23" spans="1:3" s="109" customFormat="1" ht="28.5" x14ac:dyDescent="0.45">
      <c r="A23" s="111"/>
      <c r="B23" s="110"/>
      <c r="C23" s="110"/>
    </row>
    <row r="24" spans="1:3" s="109" customFormat="1" ht="28.5" x14ac:dyDescent="0.45">
      <c r="A24" s="111"/>
      <c r="B24" s="110"/>
      <c r="C24" s="110"/>
    </row>
    <row r="25" spans="1:3" ht="41.1" customHeight="1" x14ac:dyDescent="0.45">
      <c r="A25" s="112" t="s">
        <v>87</v>
      </c>
    </row>
    <row r="27" spans="1:3" s="109" customFormat="1" ht="54.95" customHeight="1" x14ac:dyDescent="0.45">
      <c r="A27" s="113" t="s">
        <v>6</v>
      </c>
      <c r="B27" s="113" t="s">
        <v>10</v>
      </c>
      <c r="C27" s="113" t="s">
        <v>11</v>
      </c>
    </row>
    <row r="28" spans="1:3" s="109" customFormat="1" ht="28.5" x14ac:dyDescent="0.45">
      <c r="A28" s="111"/>
      <c r="B28" s="110"/>
      <c r="C28" s="110"/>
    </row>
    <row r="29" spans="1:3" s="109" customFormat="1" ht="28.5" x14ac:dyDescent="0.45">
      <c r="A29" s="111"/>
      <c r="B29" s="110"/>
      <c r="C29" s="110"/>
    </row>
    <row r="30" spans="1:3" s="109" customFormat="1" ht="28.5" x14ac:dyDescent="0.45">
      <c r="A30" s="111"/>
      <c r="B30" s="110"/>
      <c r="C30" s="110"/>
    </row>
    <row r="31" spans="1:3" s="109" customFormat="1" ht="28.5" x14ac:dyDescent="0.45">
      <c r="A31" s="111"/>
      <c r="B31" s="110"/>
      <c r="C31" s="110"/>
    </row>
    <row r="32" spans="1:3" s="109" customFormat="1" ht="28.5" x14ac:dyDescent="0.45">
      <c r="A32" s="111"/>
      <c r="B32" s="110"/>
      <c r="C32" s="110"/>
    </row>
    <row r="33" spans="1:3" s="109" customFormat="1" ht="28.5" x14ac:dyDescent="0.45">
      <c r="A33" s="111"/>
      <c r="B33" s="110"/>
      <c r="C33" s="110"/>
    </row>
    <row r="34" spans="1:3" s="109" customFormat="1" ht="28.5" x14ac:dyDescent="0.45">
      <c r="A34" s="111"/>
      <c r="B34" s="110"/>
      <c r="C34" s="110"/>
    </row>
    <row r="35" spans="1:3" s="109" customFormat="1" ht="28.5" x14ac:dyDescent="0.45">
      <c r="A35" s="111"/>
      <c r="B35" s="110"/>
      <c r="C35" s="110"/>
    </row>
    <row r="36" spans="1:3" s="109" customFormat="1" ht="28.5" x14ac:dyDescent="0.45">
      <c r="A36" s="111"/>
      <c r="B36" s="110"/>
      <c r="C36" s="110"/>
    </row>
    <row r="37" spans="1:3" s="109" customFormat="1" ht="28.5" x14ac:dyDescent="0.45">
      <c r="A37" s="111"/>
      <c r="B37" s="110"/>
      <c r="C37" s="110"/>
    </row>
    <row r="38" spans="1:3" s="109" customFormat="1" ht="28.5" x14ac:dyDescent="0.45">
      <c r="A38" s="111"/>
      <c r="B38" s="110"/>
      <c r="C38" s="110"/>
    </row>
    <row r="39" spans="1:3" s="109" customFormat="1" ht="28.5" x14ac:dyDescent="0.45">
      <c r="A39" s="111"/>
      <c r="B39" s="110"/>
      <c r="C39" s="110"/>
    </row>
    <row r="40" spans="1:3" s="109" customFormat="1" ht="28.5" x14ac:dyDescent="0.45">
      <c r="A40" s="111"/>
      <c r="B40" s="110"/>
      <c r="C40" s="110"/>
    </row>
    <row r="41" spans="1:3" s="109" customFormat="1" ht="28.5" x14ac:dyDescent="0.45">
      <c r="A41" s="111"/>
      <c r="B41" s="110"/>
      <c r="C41" s="110"/>
    </row>
    <row r="42" spans="1:3" s="109" customFormat="1" ht="28.5" x14ac:dyDescent="0.45">
      <c r="A42" s="111"/>
      <c r="B42" s="110"/>
      <c r="C42" s="110"/>
    </row>
    <row r="43" spans="1:3" s="109" customFormat="1" ht="28.5" x14ac:dyDescent="0.45">
      <c r="A43" s="111"/>
      <c r="B43" s="110"/>
      <c r="C43" s="110"/>
    </row>
    <row r="44" spans="1:3" s="109" customFormat="1" ht="28.5" x14ac:dyDescent="0.45">
      <c r="A44" s="111"/>
      <c r="B44" s="110"/>
      <c r="C44" s="110"/>
    </row>
    <row r="45" spans="1:3" s="109" customFormat="1" ht="28.5" x14ac:dyDescent="0.45">
      <c r="A45" s="111"/>
      <c r="B45" s="110"/>
      <c r="C45" s="110"/>
    </row>
    <row r="46" spans="1:3" s="109" customFormat="1" ht="28.5" x14ac:dyDescent="0.45">
      <c r="A46" s="111"/>
      <c r="B46" s="110"/>
      <c r="C46" s="110"/>
    </row>
    <row r="47" spans="1:3" s="109" customFormat="1" ht="28.5" x14ac:dyDescent="0.45">
      <c r="A47" s="111"/>
      <c r="B47" s="110"/>
      <c r="C47" s="110"/>
    </row>
  </sheetData>
  <phoneticPr fontId="8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Time Trial</vt:lpstr>
      <vt:lpstr>SEMI</vt:lpstr>
      <vt:lpstr>FINAL</vt:lpstr>
      <vt:lpstr>Final Placings</vt:lpstr>
      <vt:lpstr>Base Data</vt:lpstr>
      <vt:lpstr>TT record</vt:lpstr>
      <vt:lpstr>FINAL!Print_Area</vt:lpstr>
      <vt:lpstr>'Final Placings'!Print_Area</vt:lpstr>
      <vt:lpstr>SEMI!Print_Area</vt:lpstr>
      <vt:lpstr>'Time Trial'!Print_Area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Sullivan</dc:creator>
  <cp:keywords/>
  <dc:description/>
  <cp:lastModifiedBy>User</cp:lastModifiedBy>
  <cp:revision/>
  <dcterms:created xsi:type="dcterms:W3CDTF">2011-02-27T21:20:05Z</dcterms:created>
  <dcterms:modified xsi:type="dcterms:W3CDTF">2018-03-25T17:26:48Z</dcterms:modified>
  <cp:category/>
  <cp:contentStatus/>
</cp:coreProperties>
</file>